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omments15.xml" ContentType="application/vnd.openxmlformats-officedocument.spreadsheetml.comments+xml"/>
  <Override PartName="/xl/comments16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719" windowHeight="6451" tabRatio="715" firstSheet="2" activeTab="1"/>
  </bookViews>
  <sheets>
    <sheet name="Kalend" sheetId="2" r:id="rId1"/>
    <sheet name="Kal E" sheetId="1" r:id="rId2"/>
    <sheet name="V" sheetId="4" r:id="rId3"/>
    <sheet name="TMV-d" sheetId="10" r:id="rId4"/>
    <sheet name="V1" sheetId="5" r:id="rId5"/>
    <sheet name="V2" sheetId="7" r:id="rId6"/>
    <sheet name="iv-ü" sheetId="25" r:id="rId7"/>
    <sheet name="TMV-t" sheetId="19" r:id="rId8"/>
    <sheet name="V3" sheetId="8" r:id="rId9"/>
    <sheet name="V4" sheetId="11" r:id="rId10"/>
    <sheet name="V5" sheetId="21" r:id="rId11"/>
    <sheet name="Jaani" sheetId="18" r:id="rId12"/>
    <sheet name="M" sheetId="9" r:id="rId13"/>
    <sheet name="V6" sheetId="22" r:id="rId14"/>
    <sheet name="V7" sheetId="23" r:id="rId15"/>
    <sheet name="V8" sheetId="24" r:id="rId16"/>
    <sheet name="ETAPP" sheetId="20" state="hidden" r:id="rId17"/>
  </sheets>
  <definedNames>
    <definedName name="_xlnm._FilterDatabase" localSheetId="0" hidden="1">Kalend!$A$3:$I$28</definedName>
    <definedName name="_xlnm._FilterDatabase" localSheetId="2" hidden="1">V!$A$5:$I$129</definedName>
    <definedName name="a" localSheetId="0">#REF!</definedName>
    <definedName name="a" localSheetId="12">#REF!</definedName>
    <definedName name="a" localSheetId="3">#REF!</definedName>
    <definedName name="a" localSheetId="7">#REF!</definedName>
    <definedName name="a" localSheetId="11">#REF!</definedName>
    <definedName name="a" localSheetId="5">#REF!</definedName>
    <definedName name="a" localSheetId="8">#REF!</definedName>
    <definedName name="a" localSheetId="9">#REF!</definedName>
    <definedName name="a">#REF!</definedName>
    <definedName name="Nimed" localSheetId="0">#REF!</definedName>
    <definedName name="Nimed" localSheetId="12">#REF!</definedName>
    <definedName name="Nimed" localSheetId="3">#REF!</definedName>
    <definedName name="Nimed" localSheetId="7">#REF!</definedName>
    <definedName name="Nimed" localSheetId="11">#REF!</definedName>
    <definedName name="Nimed" localSheetId="5">#REF!</definedName>
    <definedName name="Nimed" localSheetId="8">#REF!</definedName>
    <definedName name="Nimed" localSheetId="9">#REF!</definedName>
    <definedName name="Nimed">#REF!</definedName>
    <definedName name="_xlnm.Print_Area" localSheetId="1">'Kal E'!$A:$N</definedName>
    <definedName name="_xlnm.Print_Titles" localSheetId="1">'Kal E'!$1:$3</definedName>
    <definedName name="_xlnm.Print_Titles" localSheetId="0">Kalend!$1:$3</definedName>
    <definedName name="_xlnm.Print_Titles" localSheetId="12">M!$1:$2</definedName>
    <definedName name="_xlnm.Print_Titles" localSheetId="3">'TMV-d'!$1:$2</definedName>
    <definedName name="_xlnm.Print_Titles" localSheetId="7">'TMV-t'!$1:$2</definedName>
    <definedName name="_xlnm.Print_Titles" localSheetId="11">Jaani!$1:$2</definedName>
    <definedName name="_xlnm.Print_Titles" localSheetId="2">V!$1:$6</definedName>
    <definedName name="_xlnm.Print_Titles" localSheetId="4">'V1'!$1:$2</definedName>
    <definedName name="_xlnm.Print_Titles" localSheetId="5">'V2'!$1:$2</definedName>
    <definedName name="_xlnm.Print_Titles" localSheetId="8">'V3'!$1:$2</definedName>
    <definedName name="_xlnm.Print_Titles" localSheetId="9">'V4'!$1:$2</definedName>
    <definedName name="sd" localSheetId="0">#REF!</definedName>
    <definedName name="sd" localSheetId="12">#REF!</definedName>
    <definedName name="sd" localSheetId="3">#REF!</definedName>
    <definedName name="sd" localSheetId="7">#REF!</definedName>
    <definedName name="sd" localSheetId="11">#REF!</definedName>
    <definedName name="sd" localSheetId="5">#REF!</definedName>
    <definedName name="sd" localSheetId="8">#REF!</definedName>
    <definedName name="sd" localSheetId="9">#REF!</definedName>
    <definedName name="sd">#REF!</definedName>
    <definedName name="Voka" localSheetId="0">#REF!</definedName>
    <definedName name="Voka" localSheetId="12">#REF!</definedName>
    <definedName name="Voka" localSheetId="3">#REF!</definedName>
    <definedName name="Voka" localSheetId="7">#REF!</definedName>
    <definedName name="Voka" localSheetId="11">#REF!</definedName>
    <definedName name="Voka" localSheetId="5">#REF!</definedName>
    <definedName name="Voka" localSheetId="8">#REF!</definedName>
    <definedName name="Voka" localSheetId="9">#REF!</definedName>
    <definedName name="Voka">#REF!</definedName>
    <definedName name="_xlnm.Print_Titles" localSheetId="10">'V5'!$1:$2</definedName>
    <definedName name="_xlnm.Print_Titles" localSheetId="13">'V6'!$1:$2</definedName>
    <definedName name="_xlnm.Print_Titles" localSheetId="14">'V7'!$1:$2</definedName>
    <definedName name="_xlnm.Print_Titles" localSheetId="15">'V8'!$1:$2</definedName>
    <definedName name="a" localSheetId="6">#REF!</definedName>
    <definedName name="Nimed" localSheetId="6">#REF!</definedName>
    <definedName name="_xlnm.Print_Titles" localSheetId="6">'iv-ü'!$1:$2</definedName>
    <definedName name="sd" localSheetId="6">#REF!</definedName>
    <definedName name="Voka" localSheetId="6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Martin</author>
    <author>Author</author>
    <author>Robert</author>
  </authors>
  <commentList>
    <comment ref="H3" authorId="0">
      <text>
        <r>
          <rPr>
            <b/>
            <sz val="8"/>
            <rFont val="Tahoma"/>
            <charset val="186"/>
          </rPr>
          <t>Osalustasu mängija kohta</t>
        </r>
      </text>
    </comment>
    <comment ref="I3" authorId="1">
      <text>
        <r>
          <rPr>
            <b/>
            <sz val="8"/>
            <rFont val="Tahoma"/>
            <charset val="186"/>
          </rPr>
          <t>Osalejate arv</t>
        </r>
      </text>
    </comment>
    <comment ref="F5" authorId="1">
      <text>
        <r>
          <rPr>
            <b/>
            <sz val="8"/>
            <rFont val="Tahoma"/>
            <charset val="186"/>
          </rPr>
          <t>Voka, Metsa 2
Voka staadion</t>
        </r>
      </text>
    </comment>
    <comment ref="H5" authorId="0">
      <text>
        <r>
          <rPr>
            <b/>
            <sz val="8"/>
            <rFont val="Tahoma"/>
            <charset val="186"/>
          </rPr>
          <t xml:space="preserve">Osalustasu Toila valla elanikele ja Viru SK liikmetele 3 €, 
teistele 5 € </t>
        </r>
      </text>
    </comment>
    <comment ref="F6" authorId="1">
      <text>
        <r>
          <rPr>
            <b/>
            <sz val="8"/>
            <rFont val="Tahoma"/>
            <charset val="186"/>
          </rPr>
          <t>Voka, Metsa 2
Voka staadion</t>
        </r>
      </text>
    </comment>
    <comment ref="H6" authorId="0">
      <text>
        <r>
          <rPr>
            <b/>
            <sz val="8"/>
            <rFont val="Tahoma"/>
            <charset val="186"/>
          </rPr>
          <t xml:space="preserve">Osalustasu Toila valla elanikele ja Viru SK liikmetele 3 €, 
teistele 5 € </t>
        </r>
      </text>
    </comment>
    <comment ref="F7" authorId="1">
      <text>
        <r>
          <rPr>
            <b/>
            <sz val="8"/>
            <rFont val="Tahoma"/>
            <charset val="186"/>
          </rPr>
          <t>Voka, Metsa 2
Voka staadion</t>
        </r>
      </text>
    </comment>
    <comment ref="F8" authorId="1">
      <text>
        <r>
          <rPr>
            <b/>
            <sz val="8"/>
            <rFont val="Tahoma"/>
            <charset val="186"/>
          </rPr>
          <t>Voka, Metsa 2
Voka staadion</t>
        </r>
      </text>
    </comment>
    <comment ref="F9" authorId="1">
      <text>
        <r>
          <rPr>
            <b/>
            <sz val="8"/>
            <rFont val="Tahoma"/>
            <charset val="186"/>
          </rPr>
          <t>Voka, Metsa 2
Voka staadion</t>
        </r>
      </text>
    </comment>
    <comment ref="H9" authorId="2">
      <text>
        <r>
          <rPr>
            <b/>
            <sz val="8"/>
            <rFont val="Tahoma"/>
            <charset val="186"/>
          </rPr>
          <t>Juuniorid 1 €</t>
        </r>
      </text>
    </comment>
    <comment ref="F11" authorId="1">
      <text>
        <r>
          <rPr>
            <b/>
            <sz val="8"/>
            <rFont val="Tahoma"/>
            <charset val="186"/>
          </rPr>
          <t>Voka, Metsa 2
Voka staadion</t>
        </r>
      </text>
    </comment>
    <comment ref="F12" authorId="1">
      <text>
        <r>
          <rPr>
            <b/>
            <sz val="8"/>
            <rFont val="Tahoma"/>
            <charset val="186"/>
          </rPr>
          <t>Voka, Metsa 2
Voka staadion</t>
        </r>
      </text>
    </comment>
    <comment ref="H12" authorId="0">
      <text>
        <r>
          <rPr>
            <b/>
            <sz val="8"/>
            <rFont val="Tahoma"/>
            <charset val="186"/>
          </rPr>
          <t xml:space="preserve">Osalustasu Toila valla elanikele ja Viru SK liikmetele 3 €, 
teistele 5 € </t>
        </r>
      </text>
    </comment>
    <comment ref="F13" authorId="1">
      <text>
        <r>
          <rPr>
            <b/>
            <sz val="8"/>
            <rFont val="Tahoma"/>
            <charset val="186"/>
          </rPr>
          <t>Voka, Metsa 2
Voka staadion</t>
        </r>
      </text>
    </comment>
    <comment ref="F14" authorId="1">
      <text>
        <r>
          <rPr>
            <b/>
            <sz val="8"/>
            <rFont val="Tahoma"/>
            <charset val="186"/>
          </rPr>
          <t>Voka, Metsa 2
Voka staadion</t>
        </r>
      </text>
    </comment>
    <comment ref="F15" authorId="1">
      <text>
        <r>
          <rPr>
            <b/>
            <sz val="8"/>
            <rFont val="Tahoma"/>
            <charset val="186"/>
          </rPr>
          <t>Voka, Metsa 2
Voka staadion</t>
        </r>
      </text>
    </comment>
    <comment ref="F17" authorId="1">
      <text>
        <r>
          <rPr>
            <b/>
            <sz val="8"/>
            <rFont val="Tahoma"/>
            <charset val="186"/>
          </rPr>
          <t>Voka, Metsa 2
Voka staadion</t>
        </r>
      </text>
    </comment>
    <comment ref="F19" authorId="1">
      <text>
        <r>
          <rPr>
            <b/>
            <sz val="8"/>
            <rFont val="Tahoma"/>
            <charset val="186"/>
          </rPr>
          <t>Voka, Metsa 2
Voka staadion</t>
        </r>
      </text>
    </comment>
    <comment ref="F20" authorId="1">
      <text>
        <r>
          <rPr>
            <b/>
            <sz val="8"/>
            <rFont val="Tahoma"/>
            <charset val="186"/>
          </rPr>
          <t>Voka, Metsa 2
Voka staadion</t>
        </r>
      </text>
    </comment>
    <comment ref="F21" authorId="1">
      <text>
        <r>
          <rPr>
            <b/>
            <sz val="8"/>
            <rFont val="Tahoma"/>
            <charset val="186"/>
          </rPr>
          <t>Voka, Metsa 2
Voka staadion</t>
        </r>
      </text>
    </comment>
    <comment ref="F23" authorId="1">
      <text>
        <r>
          <rPr>
            <b/>
            <sz val="8"/>
            <rFont val="Tahoma"/>
            <charset val="186"/>
          </rPr>
          <t>Kohtla-Järve, Järveküla tee 44
Spordihoone taga</t>
        </r>
      </text>
    </comment>
    <comment ref="H23" authorId="1">
      <text>
        <r>
          <rPr>
            <b/>
            <sz val="8"/>
            <rFont val="Tahoma"/>
            <charset val="186"/>
          </rPr>
          <t>Juunioridel 5 €</t>
        </r>
      </text>
    </comment>
    <comment ref="F24" authorId="1">
      <text>
        <r>
          <rPr>
            <b/>
            <sz val="8"/>
            <rFont val="Tahoma"/>
            <charset val="186"/>
          </rPr>
          <t>Kohtla-Järve, Järveküla tee 44
Spordihoone taga</t>
        </r>
      </text>
    </comment>
    <comment ref="H24" authorId="1">
      <text>
        <r>
          <rPr>
            <b/>
            <sz val="8"/>
            <rFont val="Tahoma"/>
            <charset val="186"/>
          </rPr>
          <t>Juunioridel 5 €</t>
        </r>
      </text>
    </comment>
    <comment ref="F25" authorId="1">
      <text>
        <r>
          <rPr>
            <b/>
            <sz val="8"/>
            <rFont val="Tahoma"/>
            <charset val="186"/>
          </rPr>
          <t>Voka, Metsa 2
Voka staadion</t>
        </r>
      </text>
    </comment>
    <comment ref="F26" authorId="1">
      <text>
        <r>
          <rPr>
            <b/>
            <sz val="8"/>
            <rFont val="Tahoma"/>
            <charset val="186"/>
          </rPr>
          <t>Kohtla-Järve, Järveküla tee 44
Spordihoone taga</t>
        </r>
      </text>
    </comment>
    <comment ref="H26" authorId="2">
      <text>
        <r>
          <rPr>
            <b/>
            <sz val="8"/>
            <rFont val="Tahoma"/>
            <charset val="186"/>
          </rPr>
          <t>Juuniorid 1 €</t>
        </r>
      </text>
    </comment>
    <comment ref="F27" authorId="1">
      <text>
        <r>
          <rPr>
            <b/>
            <sz val="8"/>
            <rFont val="Tahoma"/>
            <charset val="186"/>
          </rPr>
          <t>Voka, Metsa 2
Voka staadion</t>
        </r>
      </text>
    </comment>
    <comment ref="F28" authorId="1">
      <text>
        <r>
          <rPr>
            <b/>
            <sz val="8"/>
            <rFont val="Tahoma"/>
            <charset val="186"/>
          </rPr>
          <t>Voka, Metsa 2
Voka staadion</t>
        </r>
      </text>
    </comment>
    <comment ref="H28" authorId="2">
      <text>
        <r>
          <rPr>
            <b/>
            <sz val="8"/>
            <rFont val="Tahoma"/>
            <charset val="186"/>
          </rPr>
          <t>Juuniorid 1 €</t>
        </r>
      </text>
    </comment>
    <comment ref="F30" authorId="1">
      <text>
        <r>
          <rPr>
            <b/>
            <sz val="8"/>
            <rFont val="Tahoma"/>
            <charset val="186"/>
          </rPr>
          <t>Voka, Metsa 2
Voka staadion</t>
        </r>
      </text>
    </comment>
    <comment ref="F31" authorId="1">
      <text>
        <r>
          <rPr>
            <b/>
            <sz val="8"/>
            <rFont val="Tahoma"/>
            <charset val="186"/>
          </rPr>
          <t>Voka, Metsa 2
Voka staadion</t>
        </r>
      </text>
    </comment>
    <comment ref="H31" authorId="2">
      <text>
        <r>
          <rPr>
            <b/>
            <sz val="8"/>
            <rFont val="Tahoma"/>
            <charset val="186"/>
          </rPr>
          <t>Juuniorid 1 €</t>
        </r>
      </text>
    </comment>
    <comment ref="F32" authorId="1">
      <text>
        <r>
          <rPr>
            <b/>
            <sz val="8"/>
            <rFont val="Tahoma"/>
            <charset val="186"/>
          </rPr>
          <t>Voka, Metsa 2
Voka staadion</t>
        </r>
      </text>
    </comment>
    <comment ref="H32" authorId="0">
      <text>
        <r>
          <rPr>
            <b/>
            <sz val="8"/>
            <rFont val="Tahoma"/>
            <charset val="186"/>
          </rPr>
          <t xml:space="preserve">Osalustasu Toila valla elanikele ja Viru SK liikmetele 3 €, 
teistele 5 € </t>
        </r>
      </text>
    </comment>
    <comment ref="F33" authorId="1">
      <text>
        <r>
          <rPr>
            <b/>
            <sz val="8"/>
            <rFont val="Tahoma"/>
            <charset val="186"/>
          </rPr>
          <t>Voka, Metsa 2
Voka staadion</t>
        </r>
      </text>
    </comment>
    <comment ref="H33" authorId="2">
      <text>
        <r>
          <rPr>
            <b/>
            <sz val="8"/>
            <rFont val="Tahoma"/>
            <charset val="186"/>
          </rPr>
          <t>Juuniorid 1 €</t>
        </r>
      </text>
    </comment>
    <comment ref="F34" authorId="1">
      <text>
        <r>
          <rPr>
            <b/>
            <sz val="8"/>
            <rFont val="Tahoma"/>
            <charset val="186"/>
          </rPr>
          <t>Kohtla-Järve, Järveküla tee 44
Spordihoone taga</t>
        </r>
      </text>
    </comment>
    <comment ref="H34" authorId="1">
      <text>
        <r>
          <rPr>
            <b/>
            <sz val="8"/>
            <rFont val="Tahoma"/>
            <charset val="186"/>
          </rPr>
          <t>Juunioridel 5 €</t>
        </r>
      </text>
    </comment>
    <comment ref="F35" authorId="1">
      <text>
        <r>
          <rPr>
            <b/>
            <sz val="8"/>
            <rFont val="Tahoma"/>
            <charset val="186"/>
          </rPr>
          <t>Kohtla-Järve, Järveküla tee 44
Spordihoone taga</t>
        </r>
      </text>
    </comment>
    <comment ref="H35" authorId="2">
      <text>
        <r>
          <rPr>
            <b/>
            <sz val="8"/>
            <rFont val="Tahoma"/>
            <charset val="186"/>
          </rPr>
          <t>Juuniorid 1 €</t>
        </r>
      </text>
    </comment>
    <comment ref="F36" authorId="1">
      <text>
        <r>
          <rPr>
            <b/>
            <sz val="8"/>
            <rFont val="Tahoma"/>
            <charset val="186"/>
          </rPr>
          <t>Kohtla-Järve, Järveküla tee 44
Spordihoone taga</t>
        </r>
      </text>
    </comment>
    <comment ref="F37" authorId="1">
      <text>
        <r>
          <rPr>
            <b/>
            <sz val="8"/>
            <rFont val="Tahoma"/>
            <charset val="186"/>
          </rPr>
          <t>Kohtla-Järve, Järveküla tee 44
Spordihoone taga</t>
        </r>
      </text>
    </comment>
    <comment ref="H37" authorId="2">
      <text>
        <r>
          <rPr>
            <b/>
            <sz val="8"/>
            <rFont val="Tahoma"/>
            <charset val="186"/>
          </rPr>
          <t>Juuniorid 1 €</t>
        </r>
      </text>
    </comment>
    <comment ref="F38" authorId="1">
      <text>
        <r>
          <rPr>
            <b/>
            <sz val="8"/>
            <rFont val="Tahoma"/>
            <charset val="186"/>
          </rPr>
          <t>Kohtla-Järve, Järveküla tee 44
Spordihoone taga</t>
        </r>
      </text>
    </comment>
    <comment ref="H38" authorId="2">
      <text>
        <r>
          <rPr>
            <b/>
            <sz val="8"/>
            <rFont val="Tahoma"/>
            <charset val="186"/>
          </rPr>
          <t>Juuniorid 1 €</t>
        </r>
      </text>
    </comment>
    <comment ref="F39" authorId="1">
      <text>
        <r>
          <rPr>
            <b/>
            <sz val="8"/>
            <rFont val="Tahoma"/>
            <charset val="186"/>
          </rPr>
          <t>Voka, Metsa 2
Voka staadion</t>
        </r>
      </text>
    </comment>
  </commentList>
</comments>
</file>

<file path=xl/comments10.xml><?xml version="1.0" encoding="utf-8"?>
<comments xmlns="http://schemas.openxmlformats.org/spreadsheetml/2006/main">
  <authors>
    <author>Author</author>
  </authors>
  <commentList>
    <comment ref="AC6" authorId="0">
      <text>
        <r>
          <rPr>
            <b/>
            <sz val="8"/>
            <rFont val="Tahoma"/>
            <charset val="186"/>
          </rPr>
          <t>Kogu turniiri jooksul mängitud mängude punktide VAHE</t>
        </r>
      </text>
    </comment>
  </commentList>
</comments>
</file>

<file path=xl/comments11.xml><?xml version="1.0" encoding="utf-8"?>
<comments xmlns="http://schemas.openxmlformats.org/spreadsheetml/2006/main">
  <authors>
    <author>Author</author>
  </authors>
  <commentList>
    <comment ref="AC6" authorId="0">
      <text>
        <r>
          <rPr>
            <b/>
            <sz val="8"/>
            <rFont val="Tahoma"/>
            <charset val="186"/>
          </rPr>
          <t>Kogu turniiri jooksul mängitud mängude punktide VAHE</t>
        </r>
      </text>
    </comment>
  </commentList>
</comments>
</file>

<file path=xl/comments12.xml><?xml version="1.0" encoding="utf-8"?>
<comments xmlns="http://schemas.openxmlformats.org/spreadsheetml/2006/main">
  <authors>
    <author>Author</author>
  </authors>
  <commentList>
    <comment ref="AG6" authorId="0">
      <text>
        <r>
          <rPr>
            <b/>
            <sz val="8"/>
            <rFont val="Tahoma"/>
            <charset val="186"/>
          </rPr>
          <t>Kogu turniiri jooksul mängitud mängude punktide VAHE</t>
        </r>
      </text>
    </comment>
  </commentList>
</comments>
</file>

<file path=xl/comments13.xml><?xml version="1.0" encoding="utf-8"?>
<comments xmlns="http://schemas.openxmlformats.org/spreadsheetml/2006/main">
  <authors>
    <author>Author</author>
  </authors>
  <commentList>
    <comment ref="AC6" authorId="0">
      <text>
        <r>
          <rPr>
            <b/>
            <sz val="8"/>
            <rFont val="Tahoma"/>
            <charset val="186"/>
          </rPr>
          <t>Kogu turniiri jooksul mängitud mängude punktide VAHE</t>
        </r>
      </text>
    </comment>
  </commentList>
</comments>
</file>

<file path=xl/comments14.xml><?xml version="1.0" encoding="utf-8"?>
<comments xmlns="http://schemas.openxmlformats.org/spreadsheetml/2006/main">
  <authors>
    <author>Author</author>
  </authors>
  <commentList>
    <comment ref="AC6" authorId="0">
      <text>
        <r>
          <rPr>
            <b/>
            <sz val="8"/>
            <rFont val="Tahoma"/>
            <charset val="186"/>
          </rPr>
          <t>Kogu turniiri jooksul mängitud mängude punktide VAHE</t>
        </r>
      </text>
    </comment>
  </commentList>
</comments>
</file>

<file path=xl/comments15.xml><?xml version="1.0" encoding="utf-8"?>
<comments xmlns="http://schemas.openxmlformats.org/spreadsheetml/2006/main">
  <authors>
    <author>Author</author>
  </authors>
  <commentList>
    <comment ref="AC6" authorId="0">
      <text>
        <r>
          <rPr>
            <b/>
            <sz val="8"/>
            <rFont val="Tahoma"/>
            <charset val="186"/>
          </rPr>
          <t>Kogu turniiri jooksul mängitud mängude punktide VAHE</t>
        </r>
      </text>
    </comment>
  </commentList>
</comments>
</file>

<file path=xl/comments16.xml><?xml version="1.0" encoding="utf-8"?>
<comments xmlns="http://schemas.openxmlformats.org/spreadsheetml/2006/main">
  <authors>
    <author>Author</author>
  </authors>
  <commentList>
    <comment ref="AC6" authorId="0">
      <text>
        <r>
          <rPr>
            <b/>
            <sz val="8"/>
            <rFont val="Tahoma"/>
            <charset val="186"/>
          </rPr>
          <t>Kogu turniiri jooksul mängitud mängude punktide VAHE</t>
        </r>
      </text>
    </comment>
  </commentList>
</comments>
</file>

<file path=xl/comments2.xml><?xml version="1.0" encoding="utf-8"?>
<comments xmlns="http://schemas.openxmlformats.org/spreadsheetml/2006/main">
  <authors>
    <author>Author</author>
    <author>Robert</author>
    <author>Martin</author>
  </authors>
  <commentList>
    <comment ref="K7" authorId="0">
      <text>
        <r>
          <rPr>
            <b/>
            <sz val="8"/>
            <rFont val="Tahoma"/>
            <charset val="186"/>
          </rPr>
          <t>Harku, Pikk 19
Harku petangihall</t>
        </r>
      </text>
    </comment>
    <comment ref="M7" authorId="0">
      <text>
        <r>
          <rPr>
            <b/>
            <sz val="8"/>
            <rFont val="Tahoma"/>
            <charset val="186"/>
          </rPr>
          <t>Harku, Pikk 19
Harku petangihall</t>
        </r>
      </text>
    </comment>
    <comment ref="M10" authorId="0">
      <text>
        <r>
          <rPr>
            <b/>
            <sz val="8"/>
            <rFont val="Tahoma"/>
            <charset val="186"/>
          </rPr>
          <t>Voka, Metsa 2
Voka staadion</t>
        </r>
      </text>
    </comment>
    <comment ref="C13" authorId="0">
      <text>
        <r>
          <rPr>
            <b/>
            <sz val="8"/>
            <rFont val="Tahoma"/>
            <charset val="186"/>
          </rPr>
          <t>Voka, Metsa 2
Voka staadion</t>
        </r>
      </text>
    </comment>
    <comment ref="K13" authorId="0">
      <text>
        <r>
          <rPr>
            <b/>
            <sz val="8"/>
            <rFont val="Tahoma"/>
            <charset val="186"/>
          </rPr>
          <t>Harku, Pikk 19
Harku petangihall</t>
        </r>
      </text>
    </comment>
    <comment ref="M13" authorId="0">
      <text>
        <r>
          <rPr>
            <b/>
            <sz val="8"/>
            <rFont val="Tahoma"/>
            <charset val="186"/>
          </rPr>
          <t>Harku, Pikk 19
Harku petangihall</t>
        </r>
      </text>
    </comment>
    <comment ref="C16" authorId="0">
      <text>
        <r>
          <rPr>
            <b/>
            <sz val="8"/>
            <rFont val="Tahoma"/>
            <charset val="186"/>
          </rPr>
          <t>Voka, Metsa 2
Voka staadion</t>
        </r>
      </text>
    </comment>
    <comment ref="K16" authorId="0">
      <text>
        <r>
          <rPr>
            <b/>
            <sz val="8"/>
            <rFont val="Tahoma"/>
            <charset val="186"/>
          </rPr>
          <t>Harku, Pikk 19
Harku petangihall</t>
        </r>
      </text>
    </comment>
    <comment ref="M16" authorId="0">
      <text>
        <r>
          <rPr>
            <b/>
            <sz val="8"/>
            <rFont val="Tahoma"/>
            <charset val="186"/>
          </rPr>
          <t>Harku, Pikk 19
Harku petangihall</t>
        </r>
      </text>
    </comment>
    <comment ref="M19" authorId="0">
      <text>
        <r>
          <rPr>
            <b/>
            <sz val="8"/>
            <rFont val="Tahoma"/>
            <charset val="186"/>
          </rPr>
          <t>Voka, Metsa 2
Voka staadion</t>
        </r>
      </text>
    </comment>
    <comment ref="K20" authorId="0">
      <text>
        <r>
          <rPr>
            <b/>
            <sz val="8"/>
            <rFont val="Tahoma"/>
            <charset val="186"/>
          </rPr>
          <t>Eesti meistrivõistlustel osalemiseks peavad olema: 
 - petankeri litsents, 
 - võistluskuulid.</t>
        </r>
      </text>
    </comment>
    <comment ref="M20" authorId="1">
      <text>
        <r>
          <rPr>
            <b/>
            <sz val="8"/>
            <rFont val="Tahoma"/>
            <charset val="186"/>
          </rPr>
          <t>Eesti meistrivõistlustel osalemiseks peavad olema: 
 - petankeri litsents, 
 - võistluskuulid.</t>
        </r>
      </text>
    </comment>
    <comment ref="K22" authorId="2">
      <text>
        <r>
          <rPr>
            <b/>
            <sz val="8"/>
            <rFont val="Tahoma"/>
            <charset val="186"/>
          </rPr>
          <t xml:space="preserve">Haapsalu, Ranna tee 1, 
Paralepa rannaala </t>
        </r>
      </text>
    </comment>
    <comment ref="M22" authorId="2">
      <text>
        <r>
          <rPr>
            <b/>
            <sz val="8"/>
            <rFont val="Tahoma"/>
            <charset val="186"/>
          </rPr>
          <t xml:space="preserve">Haapsalu, Ranna tee 1, 
Paralepa rannaala </t>
        </r>
      </text>
    </comment>
    <comment ref="K27" authorId="0">
      <text>
        <r>
          <rPr>
            <b/>
            <sz val="8"/>
            <rFont val="Tahoma"/>
            <charset val="186"/>
          </rPr>
          <t>Voka, Metsa 2
Voka staadion</t>
        </r>
      </text>
    </comment>
    <comment ref="M27" authorId="0">
      <text>
        <r>
          <rPr>
            <b/>
            <sz val="8"/>
            <rFont val="Tahoma"/>
            <charset val="186"/>
          </rPr>
          <t>Voka, Metsa 2
Voka staadion</t>
        </r>
      </text>
    </comment>
    <comment ref="K28" authorId="0">
      <text>
        <r>
          <rPr>
            <b/>
            <sz val="8"/>
            <rFont val="Tahoma"/>
            <charset val="186"/>
          </rPr>
          <t>Eesti meistrivõistlustel osalemiseks peavad olema: 
 - petankeri litsents, 
 - võistluskuulid.</t>
        </r>
      </text>
    </comment>
    <comment ref="M28" authorId="0">
      <text>
        <r>
          <rPr>
            <b/>
            <sz val="8"/>
            <rFont val="Tahoma"/>
            <charset val="186"/>
          </rPr>
          <t>Eesti meistrivõistlustel osalemiseks peavad olema: 
 - petankeri litsents, 
 - võistluskuulid.</t>
        </r>
      </text>
    </comment>
    <comment ref="C30" authorId="0">
      <text>
        <r>
          <rPr>
            <b/>
            <sz val="8"/>
            <rFont val="Tahoma"/>
            <charset val="186"/>
          </rPr>
          <t>Voka, Metsa 2
Voka staadion</t>
        </r>
      </text>
    </comment>
    <comment ref="K30" authorId="0">
      <text>
        <r>
          <rPr>
            <b/>
            <sz val="8"/>
            <rFont val="Tahoma"/>
            <charset val="186"/>
          </rPr>
          <t>Võru, Roosi 26a</t>
        </r>
      </text>
    </comment>
    <comment ref="M30" authorId="0">
      <text>
        <r>
          <rPr>
            <b/>
            <sz val="8"/>
            <rFont val="Tahoma"/>
            <charset val="186"/>
          </rPr>
          <t>Võru, Roosi 26a</t>
        </r>
      </text>
    </comment>
    <comment ref="N34" authorId="1">
      <text>
        <r>
          <rPr>
            <b/>
            <sz val="8"/>
            <rFont val="Tahoma"/>
            <charset val="186"/>
          </rPr>
          <t>võidupüha</t>
        </r>
      </text>
    </comment>
    <comment ref="C36" authorId="0">
      <text>
        <r>
          <rPr>
            <b/>
            <sz val="8"/>
            <rFont val="Tahoma"/>
            <charset val="186"/>
          </rPr>
          <t>Voka, Metsa 2
Voka staadion</t>
        </r>
      </text>
    </comment>
    <comment ref="M36" authorId="0">
      <text>
        <r>
          <rPr>
            <b/>
            <sz val="8"/>
            <rFont val="Tahoma"/>
            <charset val="186"/>
          </rPr>
          <t>Voka, Metsa 2
Voka staadion</t>
        </r>
      </text>
    </comment>
    <comment ref="B40" authorId="1">
      <text>
        <r>
          <rPr>
            <b/>
            <sz val="8"/>
            <rFont val="Tahoma"/>
            <charset val="186"/>
          </rPr>
          <t>jaanipäev</t>
        </r>
      </text>
    </comment>
    <comment ref="K44" authorId="0">
      <text>
        <r>
          <rPr>
            <b/>
            <sz val="8"/>
            <rFont val="Tahoma"/>
            <charset val="186"/>
          </rPr>
          <t>Eesti meistrivõistlustel osalemiseks peavad olema: 
 - petankeri litsents, 
 - võistluskuulid.</t>
        </r>
      </text>
    </comment>
    <comment ref="M44" authorId="0">
      <text>
        <r>
          <rPr>
            <b/>
            <sz val="8"/>
            <rFont val="Tahoma"/>
            <charset val="186"/>
          </rPr>
          <t>Eesti meistrivõistlustel osalemiseks peavad olema: 
 - petankeri litsents, 
 - võistluskuulid.</t>
        </r>
      </text>
    </comment>
    <comment ref="C46" authorId="0">
      <text>
        <r>
          <rPr>
            <b/>
            <sz val="8"/>
            <rFont val="Tahoma"/>
            <charset val="186"/>
          </rPr>
          <t>Voka, Metsa 2
Voka staadion</t>
        </r>
      </text>
    </comment>
    <comment ref="K46" authorId="2">
      <text>
        <r>
          <rPr>
            <b/>
            <sz val="8"/>
            <rFont val="Tahoma"/>
            <charset val="186"/>
          </rPr>
          <t xml:space="preserve">Haapsalu, Ranna tee 1, 
Paralepa rannaala </t>
        </r>
      </text>
    </comment>
    <comment ref="M46" authorId="2">
      <text>
        <r>
          <rPr>
            <b/>
            <sz val="8"/>
            <rFont val="Tahoma"/>
            <charset val="186"/>
          </rPr>
          <t xml:space="preserve">Haapsalu, Ranna tee 1, 
Paralepa rannaala </t>
        </r>
      </text>
    </comment>
    <comment ref="C54" authorId="0">
      <text>
        <r>
          <rPr>
            <b/>
            <sz val="8"/>
            <rFont val="Tahoma"/>
            <charset val="186"/>
          </rPr>
          <t>Voka, Metsa 2
Voka staadion</t>
        </r>
      </text>
    </comment>
    <comment ref="K55" authorId="0">
      <text>
        <r>
          <rPr>
            <b/>
            <sz val="8"/>
            <rFont val="Tahoma"/>
            <charset val="186"/>
          </rPr>
          <t>Klubide karikal osalemiseks peavad olema: 
 - petankeri litsents, 
 - võistluskuulid
 - ühtne võistlussärk.</t>
        </r>
      </text>
    </comment>
    <comment ref="M55" authorId="0">
      <text>
        <r>
          <rPr>
            <b/>
            <sz val="8"/>
            <rFont val="Tahoma"/>
            <charset val="186"/>
          </rPr>
          <t>Klubide karikal osalemiseks peavad olema: 
 - petankeri litsents, 
 - võistluskuulid
 - ühtne võistlussärk.</t>
        </r>
      </text>
    </comment>
    <comment ref="C57" authorId="0">
      <text>
        <r>
          <rPr>
            <b/>
            <sz val="8"/>
            <rFont val="Tahoma"/>
            <charset val="186"/>
          </rPr>
          <t>Voka, Metsa 2
Voka staadion</t>
        </r>
      </text>
    </comment>
    <comment ref="K57" authorId="2">
      <text>
        <r>
          <rPr>
            <b/>
            <sz val="8"/>
            <rFont val="Tahoma"/>
            <charset val="186"/>
          </rPr>
          <t xml:space="preserve">Haapsalu, Ranna tee 1, 
Paralepa rannaala </t>
        </r>
      </text>
    </comment>
    <comment ref="M57" authorId="2">
      <text>
        <r>
          <rPr>
            <b/>
            <sz val="8"/>
            <rFont val="Tahoma"/>
            <charset val="186"/>
          </rPr>
          <t xml:space="preserve">Haapsalu, Ranna tee 1, 
Paralepa rannaala </t>
        </r>
      </text>
    </comment>
    <comment ref="K61" authorId="1">
      <text>
        <r>
          <rPr>
            <b/>
            <sz val="8"/>
            <rFont val="Tahoma"/>
            <charset val="186"/>
          </rPr>
          <t>Eesti meistrivõistlustel osalemiseks peavad olema: 
 - petankeri litsents, 
 - võistluskuulid.</t>
        </r>
      </text>
    </comment>
    <comment ref="M61" authorId="1">
      <text>
        <r>
          <rPr>
            <b/>
            <sz val="8"/>
            <rFont val="Tahoma"/>
            <charset val="186"/>
          </rPr>
          <t>Eesti meistrivõistlustel osalemiseks peavad olema: 
 - petankeri litsents, 
 - võistluskuulid.</t>
        </r>
      </text>
    </comment>
    <comment ref="K63" authorId="0">
      <text>
        <r>
          <rPr>
            <b/>
            <sz val="8"/>
            <rFont val="Tahoma"/>
            <charset val="186"/>
          </rPr>
          <t>Kohtla-Järve, Järveküla tee 44
Spordihoone taga</t>
        </r>
      </text>
    </comment>
    <comment ref="M63" authorId="0">
      <text>
        <r>
          <rPr>
            <b/>
            <sz val="8"/>
            <rFont val="Tahoma"/>
            <charset val="186"/>
          </rPr>
          <t>Kohtla-Järve, Järveküla tee 44
Spordihoone taga</t>
        </r>
      </text>
    </comment>
    <comment ref="C66" authorId="0">
      <text>
        <r>
          <rPr>
            <b/>
            <sz val="8"/>
            <rFont val="Tahoma"/>
            <charset val="186"/>
          </rPr>
          <t>Voka, Metsa 2
Voka staadion</t>
        </r>
      </text>
    </comment>
    <comment ref="K66" authorId="1">
      <text>
        <r>
          <rPr>
            <sz val="9"/>
            <rFont val="Times New Roman"/>
            <charset val="0"/>
          </rPr>
          <t>Jõgeva abistaadion, Lai 9</t>
        </r>
      </text>
    </comment>
    <comment ref="M66" authorId="0">
      <text>
        <r>
          <rPr>
            <b/>
            <sz val="8"/>
            <rFont val="Tahoma"/>
            <charset val="186"/>
          </rPr>
          <t>Harku, Pikk 19
Harku petangihall</t>
        </r>
      </text>
    </comment>
    <comment ref="M69" authorId="0">
      <text>
        <r>
          <rPr>
            <b/>
            <sz val="8"/>
            <rFont val="Tahoma"/>
            <charset val="186"/>
          </rPr>
          <t>Voka, Metsa 2
Voka staadion</t>
        </r>
      </text>
    </comment>
    <comment ref="K73" authorId="0">
      <text>
        <r>
          <rPr>
            <b/>
            <sz val="8"/>
            <rFont val="Tahoma"/>
            <charset val="186"/>
          </rPr>
          <t>Kuressaare, Lossiplats 1
Kuursaali esine väljak</t>
        </r>
      </text>
    </comment>
    <comment ref="M73" authorId="0">
      <text>
        <r>
          <rPr>
            <b/>
            <sz val="8"/>
            <rFont val="Tahoma"/>
            <charset val="186"/>
          </rPr>
          <t>Kuressaare, Lossiplats 1
Kuursaali esine väljak</t>
        </r>
      </text>
    </comment>
    <comment ref="D74" authorId="1">
      <text>
        <r>
          <rPr>
            <b/>
            <sz val="8"/>
            <rFont val="Tahoma"/>
            <charset val="186"/>
          </rPr>
          <t>taasiseseisvumispäev</t>
        </r>
      </text>
    </comment>
    <comment ref="C76" authorId="0">
      <text>
        <r>
          <rPr>
            <b/>
            <sz val="8"/>
            <rFont val="Tahoma"/>
            <charset val="186"/>
          </rPr>
          <t>Voka, Metsa 2
Voka staadion</t>
        </r>
      </text>
    </comment>
    <comment ref="I76" authorId="1">
      <text>
        <r>
          <rPr>
            <b/>
            <sz val="8"/>
            <rFont val="Tahoma"/>
            <charset val="186"/>
          </rPr>
          <t>Läti, 
Upesciems, 
Skolas iela 11, 
Upesciema stadions</t>
        </r>
      </text>
    </comment>
    <comment ref="K76" authorId="1">
      <text>
        <r>
          <rPr>
            <b/>
            <sz val="8"/>
            <rFont val="Tahoma"/>
            <charset val="186"/>
          </rPr>
          <t>Läti, 
Upesciems, 
Skolas iela 11, 
Upesciema stadions</t>
        </r>
      </text>
    </comment>
    <comment ref="M76" authorId="1">
      <text>
        <r>
          <rPr>
            <b/>
            <sz val="8"/>
            <rFont val="Tahoma"/>
            <charset val="186"/>
          </rPr>
          <t>Läti, 
Upesciems, 
Skolas iela 11, 
Upesciema stadions</t>
        </r>
      </text>
    </comment>
    <comment ref="M79" authorId="0">
      <text>
        <r>
          <rPr>
            <b/>
            <sz val="8"/>
            <rFont val="Tahoma"/>
            <charset val="186"/>
          </rPr>
          <t>Voka, Metsa 2
Voka staadion</t>
        </r>
      </text>
    </comment>
    <comment ref="K85" authorId="0">
      <text>
        <r>
          <rPr>
            <b/>
            <sz val="8"/>
            <rFont val="Tahoma"/>
            <charset val="186"/>
          </rPr>
          <t>Eesti meistrivõistlustel osalemiseks peavad olema: 
 - petankeri litsents, 
 - võistluskuulid.</t>
        </r>
      </text>
    </comment>
    <comment ref="M85" authorId="0">
      <text>
        <r>
          <rPr>
            <b/>
            <sz val="8"/>
            <rFont val="Tahoma"/>
            <charset val="186"/>
          </rPr>
          <t>Eesti meistrivõistlustel osalemiseks peavad olema: 
 - petankeri litsents, 
 - võistluskuulid.</t>
        </r>
      </text>
    </comment>
    <comment ref="C87" authorId="0">
      <text>
        <r>
          <rPr>
            <b/>
            <sz val="8"/>
            <rFont val="Tahoma"/>
            <charset val="186"/>
          </rPr>
          <t>Voka, Metsa 2
Voka staadion</t>
        </r>
      </text>
    </comment>
    <comment ref="K87" authorId="0">
      <text>
        <r>
          <rPr>
            <b/>
            <sz val="8"/>
            <rFont val="Tahoma"/>
            <charset val="186"/>
          </rPr>
          <t>Metsa ja Jõe tänava ristist keerata Pedeli jõe poole</t>
        </r>
      </text>
    </comment>
    <comment ref="M87" authorId="0">
      <text>
        <r>
          <rPr>
            <b/>
            <sz val="8"/>
            <rFont val="Tahoma"/>
            <charset val="186"/>
          </rPr>
          <t>Metsa ja Jõe tänava ristist keerata Pedeli jõe poole</t>
        </r>
      </text>
    </comment>
    <comment ref="M90" authorId="0">
      <text>
        <r>
          <rPr>
            <b/>
            <sz val="8"/>
            <rFont val="Tahoma"/>
            <charset val="186"/>
          </rPr>
          <t>Voka, Metsa 2
Voka staadion</t>
        </r>
      </text>
    </comment>
    <comment ref="M93" authorId="0">
      <text>
        <r>
          <rPr>
            <b/>
            <sz val="8"/>
            <rFont val="Tahoma"/>
            <charset val="186"/>
          </rPr>
          <t>Voka, Metsa 2
Voka staadion</t>
        </r>
      </text>
    </comment>
    <comment ref="M94" authorId="0">
      <text>
        <r>
          <rPr>
            <b/>
            <sz val="8"/>
            <rFont val="Tahoma"/>
            <charset val="186"/>
          </rPr>
          <t>Alates 2020 aastast peavad Eesti sisemeistrivõistlustel osalemiseks olema: 
 - petankeri litsents, 
 - võistluskuulid.</t>
        </r>
      </text>
    </comment>
    <comment ref="M96" authorId="0">
      <text>
        <r>
          <rPr>
            <b/>
            <sz val="8"/>
            <rFont val="Tahoma"/>
            <charset val="186"/>
          </rPr>
          <t>Harku, Pikk 19
Harku petangihall</t>
        </r>
      </text>
    </comment>
    <comment ref="M99" authorId="0">
      <text>
        <r>
          <rPr>
            <b/>
            <sz val="8"/>
            <rFont val="Tahoma"/>
            <charset val="186"/>
          </rPr>
          <t>Voka, Metsa 2
Voka staadion</t>
        </r>
      </text>
    </comment>
    <comment ref="M103" authorId="0">
      <text>
        <r>
          <rPr>
            <b/>
            <sz val="8"/>
            <rFont val="Tahoma"/>
            <charset val="186"/>
          </rPr>
          <t>Voka, Narva mnt 2
Voka petangihall</t>
        </r>
      </text>
    </comment>
    <comment ref="M106" authorId="0">
      <text>
        <r>
          <rPr>
            <b/>
            <sz val="8"/>
            <rFont val="Tahoma"/>
            <charset val="186"/>
          </rPr>
          <t>Voka, Narva mnt 2
Voka petangihall</t>
        </r>
      </text>
    </comment>
    <comment ref="M109" authorId="0">
      <text>
        <r>
          <rPr>
            <b/>
            <sz val="8"/>
            <rFont val="Tahoma"/>
            <charset val="186"/>
          </rPr>
          <t>Voka, Narva mnt 2
Voka petangihall</t>
        </r>
      </text>
    </comment>
    <comment ref="M112" authorId="0">
      <text>
        <r>
          <rPr>
            <b/>
            <sz val="8"/>
            <rFont val="Tahoma"/>
            <charset val="186"/>
          </rPr>
          <t>Voka, Narva mnt 2
Voka petangihall</t>
        </r>
      </text>
    </comment>
  </commentList>
</comments>
</file>

<file path=xl/comments3.xml><?xml version="1.0" encoding="utf-8"?>
<comments xmlns="http://schemas.openxmlformats.org/spreadsheetml/2006/main">
  <authors>
    <author>Author</author>
    <author>Martin</author>
  </authors>
  <commentList>
    <comment ref="AI1" authorId="0">
      <text>
        <r>
          <rPr>
            <b/>
            <sz val="8"/>
            <rFont val="Tahoma"/>
            <charset val="186"/>
          </rPr>
          <t>Paarismängus saab viimane koht 2 punkti ja iga kõrgem koht 2 punkti rohkem.
Triodes saab viimane koht 3 punkti ja iga kõrgem koht 3 punkti rohkem.</t>
        </r>
      </text>
    </comment>
    <comment ref="A6" authorId="0">
      <text>
        <r>
          <rPr>
            <b/>
            <sz val="8"/>
            <rFont val="Tahoma"/>
            <charset val="186"/>
          </rPr>
          <t>Viru spordiklubi mängijad</t>
        </r>
        <r>
          <rPr>
            <sz val="8"/>
            <rFont val="Tahoma"/>
            <charset val="186"/>
          </rPr>
          <t xml:space="preserve">
</t>
        </r>
      </text>
    </comment>
    <comment ref="C6" authorId="0">
      <text>
        <r>
          <rPr>
            <b/>
            <sz val="8"/>
            <rFont val="Tahoma"/>
            <charset val="186"/>
          </rPr>
          <t>Toila valla mängijad</t>
        </r>
      </text>
    </comment>
    <comment ref="G6" authorId="0">
      <text>
        <r>
          <rPr>
            <b/>
            <sz val="8"/>
            <rFont val="Tahoma"/>
            <charset val="186"/>
          </rPr>
          <t>Naised</t>
        </r>
      </text>
    </comment>
    <comment ref="I6" authorId="0">
      <text>
        <r>
          <rPr>
            <b/>
            <sz val="8"/>
            <rFont val="Tahoma"/>
            <charset val="186"/>
          </rPr>
          <t>Juuniorid</t>
        </r>
        <r>
          <rPr>
            <sz val="8"/>
            <rFont val="Tahoma"/>
            <charset val="186"/>
          </rPr>
          <t xml:space="preserve">
</t>
        </r>
      </text>
    </comment>
    <comment ref="P6" authorId="0">
      <text>
        <r>
          <rPr>
            <b/>
            <sz val="8"/>
            <rFont val="Tahoma"/>
            <charset val="186"/>
          </rPr>
          <t>Toila valla mängijad</t>
        </r>
        <r>
          <rPr>
            <sz val="8"/>
            <rFont val="Tahoma"/>
            <charset val="186"/>
          </rPr>
          <t xml:space="preserve">
</t>
        </r>
      </text>
    </comment>
    <comment ref="Q6" authorId="0">
      <text>
        <r>
          <rPr>
            <b/>
            <sz val="8"/>
            <rFont val="Tahoma"/>
            <charset val="186"/>
          </rPr>
          <t>Viru SK mängijad seisuga 02.02.2022</t>
        </r>
      </text>
    </comment>
    <comment ref="R6" authorId="1">
      <text>
        <r>
          <rPr>
            <b/>
            <sz val="8"/>
            <rFont val="Tahoma"/>
            <charset val="186"/>
          </rPr>
          <t>1 kehvem tulemus võetakse maha</t>
        </r>
      </text>
    </comment>
    <comment ref="Q70" authorId="0">
      <text>
        <r>
          <rPr>
            <b/>
            <sz val="8"/>
            <rFont val="Tahoma"/>
            <charset val="186"/>
          </rPr>
          <t>Tartu - aastast 2021</t>
        </r>
      </text>
    </comment>
    <comment ref="Q73" authorId="0">
      <text>
        <r>
          <rPr>
            <b/>
            <sz val="8"/>
            <rFont val="Tahoma"/>
            <charset val="186"/>
          </rPr>
          <t>Tartu</t>
        </r>
      </text>
    </comment>
    <comment ref="Q96" authorId="0">
      <text>
        <r>
          <rPr>
            <b/>
            <sz val="8"/>
            <rFont val="Tahoma"/>
            <charset val="186"/>
          </rPr>
          <t>Konju</t>
        </r>
      </text>
    </comment>
    <comment ref="L100" authorId="0">
      <text>
        <r>
          <rPr>
            <b/>
            <sz val="8"/>
            <rFont val="Tahoma"/>
            <charset val="186"/>
          </rPr>
          <t>Наталия Геннадьевна Кяхяря 
Ивангород 
Natalia Kyakhyarya 
Ivangorod</t>
        </r>
      </text>
    </comment>
    <comment ref="Q109" authorId="0">
      <text>
        <r>
          <rPr>
            <b/>
            <sz val="8"/>
            <rFont val="Tahoma"/>
            <charset val="186"/>
          </rPr>
          <t>Tartu</t>
        </r>
      </text>
    </comment>
    <comment ref="Q124" authorId="1">
      <text>
        <r>
          <rPr>
            <b/>
            <sz val="8"/>
            <rFont val="Tahoma"/>
            <charset val="186"/>
          </rPr>
          <t>? 27.05.1997</t>
        </r>
      </text>
    </comment>
    <comment ref="O125" authorId="0">
      <text>
        <r>
          <rPr>
            <b/>
            <sz val="8"/>
            <rFont val="Tahoma"/>
            <charset val="186"/>
          </rPr>
          <t>Author:</t>
        </r>
        <r>
          <rPr>
            <sz val="8"/>
            <rFont val="Tahoma"/>
            <charset val="186"/>
          </rPr>
          <t xml:space="preserve">
2005?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C6" authorId="0">
      <text>
        <r>
          <rPr>
            <b/>
            <sz val="8"/>
            <rFont val="Tahoma"/>
            <charset val="186"/>
          </rPr>
          <t>Kogu turniiri jooksul mängitud mängude punktide VAHE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C6" authorId="0">
      <text>
        <r>
          <rPr>
            <b/>
            <sz val="8"/>
            <rFont val="Tahoma"/>
            <charset val="186"/>
          </rPr>
          <t>Kogu turniiri jooksul mängitud mängude punktide VAHE</t>
        </r>
      </text>
    </comment>
  </commentList>
</comments>
</file>

<file path=xl/comments6.xml><?xml version="1.0" encoding="utf-8"?>
<comments xmlns="http://schemas.openxmlformats.org/spreadsheetml/2006/main">
  <authors>
    <author>Author</author>
  </authors>
  <commentList>
    <comment ref="AC6" authorId="0">
      <text>
        <r>
          <rPr>
            <b/>
            <sz val="8"/>
            <rFont val="Tahoma"/>
            <charset val="186"/>
          </rPr>
          <t>Kogu turniiri jooksul mängitud mängude punktide VAHE</t>
        </r>
      </text>
    </comment>
  </commentList>
</comments>
</file>

<file path=xl/comments7.xml><?xml version="1.0" encoding="utf-8"?>
<comments xmlns="http://schemas.openxmlformats.org/spreadsheetml/2006/main">
  <authors>
    <author>Author</author>
  </authors>
  <commentList>
    <comment ref="AG6" authorId="0">
      <text>
        <r>
          <rPr>
            <b/>
            <sz val="8"/>
            <rFont val="Tahoma"/>
            <charset val="186"/>
          </rPr>
          <t>Kogu turniiri jooksul mängitud mängude punktide VAHE</t>
        </r>
      </text>
    </comment>
  </commentList>
</comments>
</file>

<file path=xl/comments8.xml><?xml version="1.0" encoding="utf-8"?>
<comments xmlns="http://schemas.openxmlformats.org/spreadsheetml/2006/main">
  <authors>
    <author>Author</author>
  </authors>
  <commentList>
    <comment ref="AC6" authorId="0">
      <text>
        <r>
          <rPr>
            <b/>
            <sz val="8"/>
            <rFont val="Tahoma"/>
            <charset val="186"/>
          </rPr>
          <t>Kogu turniiri jooksul mängitud mängude punktide VAHE</t>
        </r>
      </text>
    </comment>
  </commentList>
</comments>
</file>

<file path=xl/comments9.xml><?xml version="1.0" encoding="utf-8"?>
<comments xmlns="http://schemas.openxmlformats.org/spreadsheetml/2006/main">
  <authors>
    <author>Author</author>
  </authors>
  <commentList>
    <comment ref="AC6" authorId="0">
      <text>
        <r>
          <rPr>
            <b/>
            <sz val="8"/>
            <rFont val="Tahoma"/>
            <charset val="186"/>
          </rPr>
          <t>Kogu turniiri jooksul mängitud mängude punktide VAHE</t>
        </r>
      </text>
    </comment>
  </commentList>
</comments>
</file>

<file path=xl/sharedStrings.xml><?xml version="1.0" encoding="utf-8"?>
<sst xmlns="http://schemas.openxmlformats.org/spreadsheetml/2006/main" count="3077" uniqueCount="467">
  <si>
    <t>IDA-VIRUMAA PETANGIKALENDER 2024</t>
  </si>
  <si>
    <t>Seisuga 10.08.2024</t>
  </si>
  <si>
    <t>Kuupäev</t>
  </si>
  <si>
    <t>Aeg</t>
  </si>
  <si>
    <t>Võistlus</t>
  </si>
  <si>
    <t>Mänguviis</t>
  </si>
  <si>
    <t>R</t>
  </si>
  <si>
    <t>Toimumiskoht</t>
  </si>
  <si>
    <t>Korraldaja</t>
  </si>
  <si>
    <t>Tasu</t>
  </si>
  <si>
    <t>Osal</t>
  </si>
  <si>
    <t>Mai 2024</t>
  </si>
  <si>
    <t>L, 04.05.2024</t>
  </si>
  <si>
    <t>11:00</t>
  </si>
  <si>
    <t>Laupäevak Voka staadionil</t>
  </si>
  <si>
    <t>Johannes Neiland</t>
  </si>
  <si>
    <t>P, 05.05.2024</t>
  </si>
  <si>
    <t>Toila valla lahtised MV</t>
  </si>
  <si>
    <t>Duo</t>
  </si>
  <si>
    <t>3/5 €</t>
  </si>
  <si>
    <t>T, 07.05.2024</t>
  </si>
  <si>
    <t>18:00</t>
  </si>
  <si>
    <t>Voka XI KV 1. etapp</t>
  </si>
  <si>
    <t>5 €</t>
  </si>
  <si>
    <t>T, 14.05.2024</t>
  </si>
  <si>
    <t>Voka XI KV 2. etapp</t>
  </si>
  <si>
    <t>P, 19.05.2024</t>
  </si>
  <si>
    <t>Ida-Virumaa MV</t>
  </si>
  <si>
    <t>Üksik</t>
  </si>
  <si>
    <t>3 €</t>
  </si>
  <si>
    <t>Juuni 2024</t>
  </si>
  <si>
    <t>L, 01.06.2024</t>
  </si>
  <si>
    <t>21. ESL individ-võistk MV (35+)</t>
  </si>
  <si>
    <t>ESVL, Johannes Neiland</t>
  </si>
  <si>
    <t xml:space="preserve"> </t>
  </si>
  <si>
    <t>P, 02.06.2024</t>
  </si>
  <si>
    <t>Trio</t>
  </si>
  <si>
    <t>T, 04.06.2024</t>
  </si>
  <si>
    <t>Voka XI KV 3. etapp</t>
  </si>
  <si>
    <t>T, 18.06.2024</t>
  </si>
  <si>
    <t>Voka XI KV 4. etapp</t>
  </si>
  <si>
    <t>P, 23.06.2024</t>
  </si>
  <si>
    <t>12:00</t>
  </si>
  <si>
    <t>Jaanipäeva pliks-plaks</t>
  </si>
  <si>
    <t>Juuli 2024</t>
  </si>
  <si>
    <t>T, 02.07.2024</t>
  </si>
  <si>
    <t>Voka XI KV 5. etapp</t>
  </si>
  <si>
    <t>P, 14.07.2024</t>
  </si>
  <si>
    <t>10:00</t>
  </si>
  <si>
    <t>3. Maidu karikas. Tšaka hopp!</t>
  </si>
  <si>
    <t>Kohtla-Järve SHK</t>
  </si>
  <si>
    <t>T, 16.07.2024</t>
  </si>
  <si>
    <t>Voka XI KV 6. etapp</t>
  </si>
  <si>
    <t>T, 23.07.2024</t>
  </si>
  <si>
    <t>Voka XI KV 7. etapp</t>
  </si>
  <si>
    <t>P, 30.07.2024</t>
  </si>
  <si>
    <t>Voka 22. muruturniir</t>
  </si>
  <si>
    <t>August 2024</t>
  </si>
  <si>
    <t>L, 03.08.2024</t>
  </si>
  <si>
    <t>SHK, Ivar Viljaste</t>
  </si>
  <si>
    <t>P, 04.08.2024</t>
  </si>
  <si>
    <t>T, 06.08.2024</t>
  </si>
  <si>
    <t>Voka XI KV 8. etapp</t>
  </si>
  <si>
    <t>P, 11.08.2024</t>
  </si>
  <si>
    <t>Ivar Viljaste</t>
  </si>
  <si>
    <t>T, 20.08.2024</t>
  </si>
  <si>
    <t>Voka XI KV 9. etapp</t>
  </si>
  <si>
    <t>P, 25.08.2024</t>
  </si>
  <si>
    <t>Segaduo</t>
  </si>
  <si>
    <t>September 2024</t>
  </si>
  <si>
    <t>P, 03.09.2024</t>
  </si>
  <si>
    <t>Voka XI KV 10. etapp</t>
  </si>
  <si>
    <t>P, 08.09.2024</t>
  </si>
  <si>
    <t>Segatrio</t>
  </si>
  <si>
    <t>P, 15.09.2024</t>
  </si>
  <si>
    <t>P, 29.09.2024</t>
  </si>
  <si>
    <t>P, 19.06.2024</t>
  </si>
  <si>
    <t>SHT, Ivar Viljaste</t>
  </si>
  <si>
    <t>N, 21.07.2024</t>
  </si>
  <si>
    <t>Tulistamine</t>
  </si>
  <si>
    <t>L, 28.05.2024</t>
  </si>
  <si>
    <t>Maidu karikas, 1. etapp</t>
  </si>
  <si>
    <t>P, 03.07.2024</t>
  </si>
  <si>
    <t>K-Järve 24. MV</t>
  </si>
  <si>
    <t>P, 12.06.2024</t>
  </si>
  <si>
    <t>P, 02.10.2024</t>
  </si>
  <si>
    <t>Hooaja lõpetamine (pliks-plaks)</t>
  </si>
  <si>
    <t>Ida-Viru reitinguvõistlused on rasvases trükis</t>
  </si>
  <si>
    <t>Arvesse läheb 10 võistlust 14st (4 üksikmängu (sh tulistamine) 6st + 3 duot 4st + 3 triot 4st)</t>
  </si>
  <si>
    <t>Finaali pääsemiseks on vajalik osavõtt vähemalt 3st etapist. Finaal mängitakse kahe kaotuse süsteemis üksimängus.</t>
  </si>
  <si>
    <t xml:space="preserve">Voka karikavõistlused on rohelise taustaga. </t>
  </si>
  <si>
    <t>Eesti reitingusarja võistlused on rasvases trükis.</t>
  </si>
  <si>
    <t>Eesti reitingusse lähevad Eesti MV-d, millest võetakse maha 1 kehvem tulemus.</t>
  </si>
  <si>
    <t>Viimased muudatused on punasega</t>
  </si>
  <si>
    <t>EESTI JA IDA-VIRUMAA PETANGIKALENDER 2024</t>
  </si>
  <si>
    <t>Esmaspäev</t>
  </si>
  <si>
    <t>Teisipäev</t>
  </si>
  <si>
    <t>Kolmapäev</t>
  </si>
  <si>
    <t>Neljapäev</t>
  </si>
  <si>
    <t>Reede</t>
  </si>
  <si>
    <t>Laupäev</t>
  </si>
  <si>
    <t>Pühapäev</t>
  </si>
  <si>
    <t>ÜKSIK, DUO, SEGADUO</t>
  </si>
  <si>
    <t>DUO</t>
  </si>
  <si>
    <t>1. etapp, DUO</t>
  </si>
  <si>
    <t>TRIO</t>
  </si>
  <si>
    <t>TRIO (vajadusel)</t>
  </si>
  <si>
    <t>2. etapp, DUO</t>
  </si>
  <si>
    <t>TRIO, DUO, ÜKSIK</t>
  </si>
  <si>
    <t>ÜKSIK</t>
  </si>
  <si>
    <r>
      <rPr>
        <b/>
        <sz val="10"/>
        <color rgb="FFA6A6A6"/>
        <rFont val="Arial"/>
        <charset val="186"/>
      </rPr>
      <t>ÜKSIK</t>
    </r>
    <r>
      <rPr>
        <b/>
        <sz val="10"/>
        <rFont val="Arial"/>
        <charset val="186"/>
      </rPr>
      <t xml:space="preserve"> </t>
    </r>
    <r>
      <rPr>
        <b/>
        <sz val="10"/>
        <color theme="9" tint="-0.249977111117893"/>
        <rFont val="Arial"/>
        <charset val="186"/>
      </rPr>
      <t>(55+)</t>
    </r>
  </si>
  <si>
    <t>MV (35+), ÜKSIK</t>
  </si>
  <si>
    <t>3. etapp, DUO</t>
  </si>
  <si>
    <t>SEGATRIO</t>
  </si>
  <si>
    <t>4. etapp, DUO</t>
  </si>
  <si>
    <t>4. EM ÜKSIK (m, n)</t>
  </si>
  <si>
    <t>2. EM ÜKSIK (m, n), DUO (m, n), SEGADUO</t>
  </si>
  <si>
    <t>Martigny (Šveits)</t>
  </si>
  <si>
    <t>5. etapp, DUO</t>
  </si>
  <si>
    <t>SEGADUO</t>
  </si>
  <si>
    <t>11. Naiste EM, TRIO, TUL</t>
  </si>
  <si>
    <t>Santa Susanna (Hispaania)</t>
  </si>
  <si>
    <t>6. etapp, DUO</t>
  </si>
  <si>
    <t>7. etapp, DUO</t>
  </si>
  <si>
    <t>Ü, D, SD, T, ST</t>
  </si>
  <si>
    <r>
      <rPr>
        <b/>
        <sz val="10"/>
        <color rgb="FFA6A6A6"/>
        <rFont val="Arial"/>
        <charset val="186"/>
      </rPr>
      <t xml:space="preserve">DUO </t>
    </r>
    <r>
      <rPr>
        <b/>
        <sz val="10"/>
        <color theme="9" tint="-0.249977111117893"/>
        <rFont val="Arial"/>
        <charset val="186"/>
      </rPr>
      <t>(55+)</t>
    </r>
  </si>
  <si>
    <r>
      <rPr>
        <b/>
        <sz val="10"/>
        <color rgb="FFA6A6A6"/>
        <rFont val="Arial"/>
        <charset val="186"/>
      </rPr>
      <t>TRIO</t>
    </r>
    <r>
      <rPr>
        <b/>
        <sz val="10"/>
        <rFont val="Arial"/>
        <charset val="186"/>
      </rPr>
      <t xml:space="preserve"> </t>
    </r>
    <r>
      <rPr>
        <b/>
        <sz val="10"/>
        <color theme="9" tint="-0.249977111117893"/>
        <rFont val="Arial"/>
        <charset val="186"/>
      </rPr>
      <t>(55+)</t>
    </r>
  </si>
  <si>
    <t>57. ESL Spordimängud</t>
  </si>
  <si>
    <t>8. etapp, DUO</t>
  </si>
  <si>
    <t>(35+), SEGATRIO</t>
  </si>
  <si>
    <t>Ü, D, SD, T</t>
  </si>
  <si>
    <t>Riia</t>
  </si>
  <si>
    <t>suvemängud</t>
  </si>
  <si>
    <t>9. etapp, DUO</t>
  </si>
  <si>
    <t>10. etapp, DUO</t>
  </si>
  <si>
    <r>
      <rPr>
        <b/>
        <sz val="10"/>
        <rFont val="Arial"/>
        <charset val="186"/>
      </rPr>
      <t xml:space="preserve">DUO </t>
    </r>
    <r>
      <rPr>
        <b/>
        <sz val="10"/>
        <color rgb="FFC00000"/>
        <rFont val="Arial"/>
        <charset val="186"/>
      </rPr>
      <t>(naised)</t>
    </r>
  </si>
  <si>
    <r>
      <rPr>
        <b/>
        <sz val="10"/>
        <rFont val="Arial"/>
        <charset val="186"/>
      </rPr>
      <t xml:space="preserve">TRIO </t>
    </r>
    <r>
      <rPr>
        <b/>
        <sz val="10"/>
        <color rgb="FFC00000"/>
        <rFont val="Arial"/>
        <charset val="186"/>
      </rPr>
      <t>(naised)</t>
    </r>
  </si>
  <si>
    <t>TUL</t>
  </si>
  <si>
    <t>Oktoober 2024</t>
  </si>
  <si>
    <t>Detsember 2024</t>
  </si>
  <si>
    <t>Ida-Viru reitinguvõistlused on rasvases trükis ja sinise taustaga</t>
  </si>
  <si>
    <t xml:space="preserve">Voka karikavõistluste sari on rohelise taustaga. </t>
  </si>
  <si>
    <t>Eesti reitinguvõistlused (Eesti MV-d) on rasvases trükis. Maha võetakse 1 kehvem tulemus.</t>
  </si>
  <si>
    <t>Viimased muudatused on punasega.</t>
  </si>
  <si>
    <t>Rahvusvahelised ja katsevõistlused on sinisega ja kaldkirjas</t>
  </si>
  <si>
    <t>VOKA 11. KARIKAVÕISTLUSED 2024</t>
  </si>
  <si>
    <t xml:space="preserve">  </t>
  </si>
  <si>
    <t>Punktid</t>
  </si>
  <si>
    <t>Kuld</t>
  </si>
  <si>
    <t>Peida halli taustaga veerud</t>
  </si>
  <si>
    <t xml:space="preserve">Arvesse läheb 9 paremat tulemust 10st. </t>
  </si>
  <si>
    <t>Hõbe</t>
  </si>
  <si>
    <t>etapist osavõtt on vajalik finaalturniirile pääsemiseks</t>
  </si>
  <si>
    <t>Pronks</t>
  </si>
  <si>
    <t>kehvemat tulemust võetakse maha - mahatõmbamise format kasutab seda</t>
  </si>
  <si>
    <t>vasak täht on 17 punkti, järgmine 16 punkti jne</t>
  </si>
  <si>
    <t>paremus-järjestus</t>
  </si>
  <si>
    <t>nimi tähestik</t>
  </si>
  <si>
    <t>kolm paremat numbrit näitavad mitmes on nimi tähestiku järgi</t>
  </si>
  <si>
    <t>sordi selle</t>
  </si>
  <si>
    <t>Osalusi</t>
  </si>
  <si>
    <t>Esikolmikus</t>
  </si>
  <si>
    <t>Võite</t>
  </si>
  <si>
    <t>KOHT</t>
  </si>
  <si>
    <t>max 17 võistkonda</t>
  </si>
  <si>
    <t>kasutab</t>
  </si>
  <si>
    <t>järgi</t>
  </si>
  <si>
    <t>**</t>
  </si>
  <si>
    <t>Kokku</t>
  </si>
  <si>
    <t>edasi/</t>
  </si>
  <si>
    <t>L***</t>
  </si>
  <si>
    <t>Viru SK</t>
  </si>
  <si>
    <t>Toila vald</t>
  </si>
  <si>
    <t>M</t>
  </si>
  <si>
    <t>Mehed</t>
  </si>
  <si>
    <t>N</t>
  </si>
  <si>
    <t>Naised</t>
  </si>
  <si>
    <t>J</t>
  </si>
  <si>
    <t>Juuniorid</t>
  </si>
  <si>
    <t>Üld</t>
  </si>
  <si>
    <t>Nimi</t>
  </si>
  <si>
    <t>T</t>
  </si>
  <si>
    <t>V</t>
  </si>
  <si>
    <t>val2</t>
  </si>
  <si>
    <t>val 1&amp;2</t>
  </si>
  <si>
    <t>jä val 1&amp;2</t>
  </si>
  <si>
    <t>val3</t>
  </si>
  <si>
    <t>val 1&amp;2&amp;3</t>
  </si>
  <si>
    <t>jä val 1&amp;2&amp;3</t>
  </si>
  <si>
    <t>rank</t>
  </si>
  <si>
    <t>kõik</t>
  </si>
  <si>
    <t>/koht</t>
  </si>
  <si>
    <t>Vadim Tihhonjuk</t>
  </si>
  <si>
    <t>m</t>
  </si>
  <si>
    <t>Tõnis Neiland</t>
  </si>
  <si>
    <t>Henri Mitt</t>
  </si>
  <si>
    <t>t</t>
  </si>
  <si>
    <t>Olav Türk</t>
  </si>
  <si>
    <t>Tartu</t>
  </si>
  <si>
    <t>Meelis Luud</t>
  </si>
  <si>
    <t>SHK</t>
  </si>
  <si>
    <t>Sander Rose</t>
  </si>
  <si>
    <t>Kristel Tihhonjuk</t>
  </si>
  <si>
    <t>n</t>
  </si>
  <si>
    <t>Oleg Rõndenkov</t>
  </si>
  <si>
    <t>Jaan Sepp</t>
  </si>
  <si>
    <t>Andres Veski</t>
  </si>
  <si>
    <t>Elmo Lageda</t>
  </si>
  <si>
    <t>Urmas Jõeäär</t>
  </si>
  <si>
    <t>Sirje Maala</t>
  </si>
  <si>
    <t>Marko Rooden</t>
  </si>
  <si>
    <t>Kohtla-Nõmme</t>
  </si>
  <si>
    <t>Andrei Grintšak</t>
  </si>
  <si>
    <t>Enn Tokman</t>
  </si>
  <si>
    <t>Kenneth Muusikus</t>
  </si>
  <si>
    <t>Svetlana Veski</t>
  </si>
  <si>
    <t>Sander Aul</t>
  </si>
  <si>
    <t>Väino Aul</t>
  </si>
  <si>
    <t>Aigi Orro</t>
  </si>
  <si>
    <t>Hillar Neiland</t>
  </si>
  <si>
    <t>Melika Lehtla</t>
  </si>
  <si>
    <t>Ljudmila Varendi</t>
  </si>
  <si>
    <t>Viktor Švarõgin</t>
  </si>
  <si>
    <t>Kaspar Mänd</t>
  </si>
  <si>
    <t>Martin Kuusmann</t>
  </si>
  <si>
    <t>Matti Vinni</t>
  </si>
  <si>
    <t>Janek Tarto</t>
  </si>
  <si>
    <t>Tõnu Kapper</t>
  </si>
  <si>
    <t>Liidia Põllu</t>
  </si>
  <si>
    <t>Kalle Orro</t>
  </si>
  <si>
    <t>Boriss Klubov</t>
  </si>
  <si>
    <t>Urmas Randlaine</t>
  </si>
  <si>
    <t>Lemmit Toomra</t>
  </si>
  <si>
    <t>Jaan Saar</t>
  </si>
  <si>
    <t>Heili Vasser</t>
  </si>
  <si>
    <t>Vello Vasser</t>
  </si>
  <si>
    <t>Sirje Viljaste</t>
  </si>
  <si>
    <t>Kristo Viljaste</t>
  </si>
  <si>
    <t>Taimo Lepp</t>
  </si>
  <si>
    <t>Peep Peenema</t>
  </si>
  <si>
    <t>Aleksander Korikov</t>
  </si>
  <si>
    <t>Toomas Tedrekull</t>
  </si>
  <si>
    <t>Veronika Põllu</t>
  </si>
  <si>
    <t>Jüri Mitt</t>
  </si>
  <si>
    <t>Tarmo Bombe</t>
  </si>
  <si>
    <t>Kristel Mark</t>
  </si>
  <si>
    <t>Kristiin-Marleen Neiland</t>
  </si>
  <si>
    <t>Merilin Neiland</t>
  </si>
  <si>
    <t>Aarne Välja</t>
  </si>
  <si>
    <t>Airi Kruusma</t>
  </si>
  <si>
    <t>Airi Veski</t>
  </si>
  <si>
    <t>j</t>
  </si>
  <si>
    <t>Alar Peek</t>
  </si>
  <si>
    <t>Alari Keedus</t>
  </si>
  <si>
    <t>Aleksandr Tipakov</t>
  </si>
  <si>
    <t>Andres Viisitam</t>
  </si>
  <si>
    <t>Annaliset Neiland</t>
  </si>
  <si>
    <t>Anton Tipakov</t>
  </si>
  <si>
    <t>Antonina Maksimova</t>
  </si>
  <si>
    <t>Argo Sepp</t>
  </si>
  <si>
    <t>Aurelia Meldre</t>
  </si>
  <si>
    <t>Berit Kuusmann</t>
  </si>
  <si>
    <t>Brigitta Neiland</t>
  </si>
  <si>
    <t>Daniel Lehtsaar</t>
  </si>
  <si>
    <t>Daniil Alekankin</t>
  </si>
  <si>
    <t>David Arzantsev</t>
  </si>
  <si>
    <t>Denis Skrabutenas</t>
  </si>
  <si>
    <t>Einar Juhkam</t>
  </si>
  <si>
    <t>Emil Murzajev</t>
  </si>
  <si>
    <t>Eve Müüdla</t>
  </si>
  <si>
    <t>Fredi Müür</t>
  </si>
  <si>
    <t>Henri Müür</t>
  </si>
  <si>
    <t>Illar Tõnurist</t>
  </si>
  <si>
    <t>Irene Võrklaev</t>
  </si>
  <si>
    <t>Wicia</t>
  </si>
  <si>
    <t>Jan-Martin Neiland</t>
  </si>
  <si>
    <t>Jevgeni Korikov</t>
  </si>
  <si>
    <t>Joana Taalberg</t>
  </si>
  <si>
    <t>Juhan Enniko</t>
  </si>
  <si>
    <t>Karla Purgats</t>
  </si>
  <si>
    <t>Karoliina Sild</t>
  </si>
  <si>
    <t>Kati Tuzberg</t>
  </si>
  <si>
    <t>Kevin Muusikus</t>
  </si>
  <si>
    <t>Kevin Sten Liik</t>
  </si>
  <si>
    <t>Ksenija Matšneva</t>
  </si>
  <si>
    <t>Lydia Skrabutenas</t>
  </si>
  <si>
    <t>Margus Vasser</t>
  </si>
  <si>
    <t>Marko Tarassov</t>
  </si>
  <si>
    <t>Marta Bernat</t>
  </si>
  <si>
    <t>Martha Aavisto</t>
  </si>
  <si>
    <t>Mihkel Palk</t>
  </si>
  <si>
    <t>Natalia Kähärä</t>
  </si>
  <si>
    <t>Nikolai Arzantsev</t>
  </si>
  <si>
    <t>Narva</t>
  </si>
  <si>
    <t>Oksana Rõndenkova</t>
  </si>
  <si>
    <t>Oliver Ojasalu</t>
  </si>
  <si>
    <t>Oskar Sepp</t>
  </si>
  <si>
    <t>Pavel Grintšak</t>
  </si>
  <si>
    <t>Peeter Lüdig</t>
  </si>
  <si>
    <t>Järvamaa</t>
  </si>
  <si>
    <t>Raul Mõtus</t>
  </si>
  <si>
    <t>Reimo Lõhmus</t>
  </si>
  <si>
    <t>Roland Põld</t>
  </si>
  <si>
    <t>Romek Tarto</t>
  </si>
  <si>
    <t>Ronald Jõeäär</t>
  </si>
  <si>
    <t>Rutt Voldek</t>
  </si>
  <si>
    <t>Sander Skrabutenas</t>
  </si>
  <si>
    <t>Sandra Laura Nõmmeloo</t>
  </si>
  <si>
    <t>Sergei Lošajets</t>
  </si>
  <si>
    <t>Silver Kingissepp</t>
  </si>
  <si>
    <t>Taavi Press</t>
  </si>
  <si>
    <t>Tomas Kivestu</t>
  </si>
  <si>
    <t>Tõnis Anton</t>
  </si>
  <si>
    <t>Uku Kollom</t>
  </si>
  <si>
    <t>Veronika Pirk</t>
  </si>
  <si>
    <t>Veroonika Mendes</t>
  </si>
  <si>
    <t>Viktoria Mets</t>
  </si>
  <si>
    <t>Vlad Arzantsev</t>
  </si>
  <si>
    <t>Vladimir Mihhailov</t>
  </si>
  <si>
    <t>Vladimir Ogneštšikov</t>
  </si>
  <si>
    <t>Osalejaid</t>
  </si>
  <si>
    <t>Võistkondi</t>
  </si>
  <si>
    <t>Võit</t>
  </si>
  <si>
    <t>punkt</t>
  </si>
  <si>
    <t>Viik</t>
  </si>
  <si>
    <t>punkti</t>
  </si>
  <si>
    <t>Kaotus</t>
  </si>
  <si>
    <t>Kõik mängud algasid seisult 1:1</t>
  </si>
  <si>
    <t>Kui mängija nimi on vigane või puudub reitingutabelist, teeb punaseks</t>
  </si>
  <si>
    <t>K</t>
  </si>
  <si>
    <t>1. voor</t>
  </si>
  <si>
    <t>2. voor</t>
  </si>
  <si>
    <t>3. voor</t>
  </si>
  <si>
    <t>4. voor</t>
  </si>
  <si>
    <t>5. voor</t>
  </si>
  <si>
    <t>Buch</t>
  </si>
  <si>
    <t>Fine B.</t>
  </si>
  <si>
    <t>Suhe</t>
  </si>
  <si>
    <t>+/-</t>
  </si>
  <si>
    <t>enne 1 koma</t>
  </si>
  <si>
    <t>pärast 1 koma</t>
  </si>
  <si>
    <t>1 ja 2 koma vahel</t>
  </si>
  <si>
    <t>pärast 2 koma</t>
  </si>
  <si>
    <t>2 ja 3 koma vahel</t>
  </si>
  <si>
    <t>pärast 3 koma</t>
  </si>
  <si>
    <t>Aarne Välja, Janek Tarto</t>
  </si>
  <si>
    <t>:</t>
  </si>
  <si>
    <t>Johannes Neiland, Urmas Randlaine</t>
  </si>
  <si>
    <t>Olav Türk, Sirje Maala</t>
  </si>
  <si>
    <t>Andres Veski, Svetlana Veski</t>
  </si>
  <si>
    <t>Jaan Sepp, Matti Vinni</t>
  </si>
  <si>
    <t>Ivar Viljaste, Sirje Viljaste</t>
  </si>
  <si>
    <t>Berit Kuusmann, Marko Rooden</t>
  </si>
  <si>
    <t>Jaan Saar, Liidia Põllu</t>
  </si>
  <si>
    <t>Lemmit Toomra, Tõnu Kapper</t>
  </si>
  <si>
    <t>Hillar Neiland, Kaspar Mänd</t>
  </si>
  <si>
    <t>Ljudmila Varendi, Viktor Švarõgin</t>
  </si>
  <si>
    <t>Lageda/Grintšak</t>
  </si>
  <si>
    <t>Boriss Klubov, Jüri Mitt</t>
  </si>
  <si>
    <t>Kristel Tihhonjuk, Vadim Tihhonjuk</t>
  </si>
  <si>
    <t>Meelis Luud, Sander Rose</t>
  </si>
  <si>
    <t>Heili Vasser, Vello Vasser</t>
  </si>
  <si>
    <t>Kaspar Mänd, Olav Türk</t>
  </si>
  <si>
    <t>Andrei Grintšak, Enn Tokman</t>
  </si>
  <si>
    <t>Johannes Neiland, Marko Rooden</t>
  </si>
  <si>
    <t>Henri Mitt, Hillar Neiland</t>
  </si>
  <si>
    <t>Boriss Klubov, Elmo Lageda</t>
  </si>
  <si>
    <t>vaba voor</t>
  </si>
  <si>
    <t>Punkte</t>
  </si>
  <si>
    <t>Henri Mitt, Tõnis Neiland</t>
  </si>
  <si>
    <t>Hillar Neiland, Oleg Rõndenkov</t>
  </si>
  <si>
    <t>Andres Veski, Sirje Maala</t>
  </si>
  <si>
    <t>Jaan Sepp, Sirje Viljaste</t>
  </si>
  <si>
    <t>Johannes Neiland, Taimo Lepp</t>
  </si>
  <si>
    <t>Jüri Mitt, Tarmo Bombe</t>
  </si>
  <si>
    <t>Marko Rooden, Martin Kuusmann</t>
  </si>
  <si>
    <t>6. voor</t>
  </si>
  <si>
    <t>Enno Konsa</t>
  </si>
  <si>
    <t>Meelis Luud, Olav Türk, Sander Rose</t>
  </si>
  <si>
    <t>Aarne Välja, Jaan Sepp, Oskar Sepp</t>
  </si>
  <si>
    <t>Andres Veski,  Johannes Neiland, Svetlana Veski</t>
  </si>
  <si>
    <t>Andrei Grintšak, Kristel Tihhonjuk, Vadim Tihhonjuk</t>
  </si>
  <si>
    <t>Boriss Klubov, Elmo Lageda, Peep Peenema</t>
  </si>
  <si>
    <t>Enn Tokman, Ljudmila Varendi, Viktor Švarõgin</t>
  </si>
  <si>
    <t>Hillar Neiland, Tõnis Neiland</t>
  </si>
  <si>
    <t>Olav Türk, Urmas Jõeäär</t>
  </si>
  <si>
    <t>Melika Lehtla, Väino Aul</t>
  </si>
  <si>
    <t>Oleg Rõndenkov, Urmas Jõeäär</t>
  </si>
  <si>
    <t>Sander Aul, Väino Aul</t>
  </si>
  <si>
    <t>DNF</t>
  </si>
  <si>
    <t>Janek Tarto, Melika Lehtla</t>
  </si>
  <si>
    <t>Aigi Orro, Kalle Orro</t>
  </si>
  <si>
    <t>Kristel Mark, Kristiin-Marleen Neiland, Merilin Neiland</t>
  </si>
  <si>
    <t>Elmo Lageda, Kenneth Muusikus</t>
  </si>
  <si>
    <t>Ivar Viljaste, Kristo Viljaste</t>
  </si>
  <si>
    <t>Aulis Paal</t>
  </si>
  <si>
    <t>Üksiku</t>
  </si>
  <si>
    <t>punktid</t>
  </si>
  <si>
    <t>Anneli Suits</t>
  </si>
  <si>
    <t>Rein Rothberg</t>
  </si>
  <si>
    <t>Enn Lehtpuu</t>
  </si>
  <si>
    <t>Martin Kuusman</t>
  </si>
  <si>
    <t>1 - 8 koht</t>
  </si>
  <si>
    <t>1. koht</t>
  </si>
  <si>
    <t>2. koht</t>
  </si>
  <si>
    <t>3. koht</t>
  </si>
  <si>
    <t>4. koht</t>
  </si>
  <si>
    <t>5. koht</t>
  </si>
  <si>
    <t>6. koht</t>
  </si>
  <si>
    <t>7. koht</t>
  </si>
  <si>
    <t>8. koht</t>
  </si>
  <si>
    <t>9 - 12 koht</t>
  </si>
  <si>
    <t>9. koht</t>
  </si>
  <si>
    <t>10. koht</t>
  </si>
  <si>
    <t>11. koht</t>
  </si>
  <si>
    <t>12. koht</t>
  </si>
  <si>
    <t>13 - 16 koht</t>
  </si>
  <si>
    <t>13. koht</t>
  </si>
  <si>
    <t>14. koht</t>
  </si>
  <si>
    <t>15. koht</t>
  </si>
  <si>
    <t>16. koht</t>
  </si>
  <si>
    <t>17 - 19 koht</t>
  </si>
  <si>
    <t>17. koht</t>
  </si>
  <si>
    <t>18. koht</t>
  </si>
  <si>
    <t>19. koht</t>
  </si>
  <si>
    <t>Jaan Sepp, Janek Tarto</t>
  </si>
  <si>
    <t>Kenneth Muusikus, Olav Türk</t>
  </si>
  <si>
    <t>Andres Veski, Melika Lehtla</t>
  </si>
  <si>
    <t>Aigi Orro, Elmo Lageda</t>
  </si>
  <si>
    <t>Liidia Põllu, Tõnu Kapper</t>
  </si>
  <si>
    <t>Enn Tokman, Sirje Maala</t>
  </si>
  <si>
    <t>Henri Mitt, Vadim Tihhonjuk</t>
  </si>
  <si>
    <t>Kristel Tihhonjuk, Tõnis Neiland</t>
  </si>
  <si>
    <t>Oleg Rõndenkov, Sirje Maala</t>
  </si>
  <si>
    <t>Marko Rooden, Melika Lehtla</t>
  </si>
  <si>
    <t>Aleksander Korikov, Toomas Tedrekull</t>
  </si>
  <si>
    <t>Andrei Grintšak, Jaan Sepp</t>
  </si>
  <si>
    <t>Janek Tarto, Kaspar Mänd</t>
  </si>
  <si>
    <t>Oleg Rõndenkov, Tõnis Neiland</t>
  </si>
  <si>
    <t>Kenneth Muusikus, Peep Peenema</t>
  </si>
  <si>
    <t>Jaan Sepp, Sirje Maala</t>
  </si>
  <si>
    <t>Olav Türk, Vadim Tihhonjuk</t>
  </si>
  <si>
    <t>Liidia Põllu, Veronika Põllu</t>
  </si>
  <si>
    <t>Marko Rooden, Sander Aul</t>
  </si>
  <si>
    <t>Henri Mitt, Melika Lehtla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</si>
  <si>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</si>
  <si>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</si>
  <si>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</si>
  <si>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</si>
  <si>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</si>
  <si>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</si>
  <si>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</si>
  <si>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</si>
  <si>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</si>
  <si>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L</t>
  </si>
  <si>
    <t>O</t>
  </si>
  <si>
    <t>P</t>
  </si>
  <si>
    <t>Q</t>
  </si>
  <si>
    <t>S</t>
  </si>
  <si>
    <t>U</t>
  </si>
  <si>
    <t>W</t>
  </si>
  <si>
    <t>X</t>
  </si>
  <si>
    <t>Y</t>
  </si>
  <si>
    <t>Z</t>
  </si>
  <si>
    <t>Etappide arvule vastav täht</t>
  </si>
  <si>
    <t>Etappide arv, millel on võistleja saanud näiteks 20 punkti</t>
  </si>
  <si>
    <t>Nagu näha, saab hooajal teha kuni 31 etappi (kuid tähtede ette võib lisada ka 9 numbrit - seega max 40 etappi)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</si>
</sst>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#,##0\ [$€-1];[Red]\-#,##0\ [$€-1]"/>
    <numFmt numFmtId="177" formatCode="_ * #,##0.00_ ;_ * \-#,##0.00_ ;_ * &quot;-&quot;??_ ;_ @_ "/>
    <numFmt numFmtId="178" formatCode="_ * #,##0_ ;_ * \-#,##0_ ;_ * &quot;-&quot;_ ;_ @_ "/>
  </numFmts>
  <fonts count="92">
    <font>
      <sz val="10"/>
      <color theme="1"/>
      <name val="Arial"/>
      <charset val="186"/>
    </font>
    <font>
      <b/>
      <sz val="10"/>
      <color rgb="FF0070C0"/>
      <name val="Arial"/>
      <charset val="186"/>
    </font>
    <font>
      <b/>
      <sz val="10"/>
      <color theme="1"/>
      <name val="Arial"/>
      <charset val="186"/>
    </font>
    <font>
      <i/>
      <sz val="10"/>
      <color theme="0" tint="-0.499984740745262"/>
      <name val="Arial"/>
      <charset val="186"/>
    </font>
    <font>
      <b/>
      <sz val="10"/>
      <color rgb="FFFF0000"/>
      <name val="Arial"/>
      <charset val="186"/>
    </font>
    <font>
      <b/>
      <u/>
      <sz val="10"/>
      <color theme="1"/>
      <name val="Arial"/>
      <charset val="186"/>
    </font>
    <font>
      <sz val="10"/>
      <color theme="1"/>
      <name val="Arial"/>
      <charset val="186"/>
    </font>
    <font>
      <b/>
      <sz val="10"/>
      <color theme="1"/>
      <name val="Arial"/>
      <charset val="186"/>
    </font>
    <font>
      <u/>
      <sz val="10"/>
      <color theme="1"/>
      <name val="Arial"/>
      <charset val="186"/>
    </font>
    <font>
      <b/>
      <sz val="10"/>
      <name val="Arial"/>
      <charset val="186"/>
    </font>
    <font>
      <i/>
      <sz val="10"/>
      <color theme="1"/>
      <name val="Arial"/>
      <charset val="186"/>
    </font>
    <font>
      <sz val="10"/>
      <color rgb="FF00B0F0"/>
      <name val="Arial"/>
      <charset val="186"/>
    </font>
    <font>
      <b/>
      <sz val="8"/>
      <color rgb="FF0070C0"/>
      <name val="Arial"/>
      <charset val="186"/>
    </font>
    <font>
      <sz val="10"/>
      <color theme="0" tint="-0.349986266670736"/>
      <name val="Arial"/>
      <charset val="186"/>
    </font>
    <font>
      <b/>
      <sz val="8"/>
      <color theme="2" tint="-0.499984740745262"/>
      <name val="Arial"/>
      <charset val="186"/>
    </font>
    <font>
      <b/>
      <sz val="10"/>
      <color rgb="FF00B0F0"/>
      <name val="Arial"/>
      <charset val="186"/>
    </font>
    <font>
      <b/>
      <sz val="10"/>
      <color rgb="FFCC0066"/>
      <name val="Arial"/>
      <charset val="186"/>
    </font>
    <font>
      <b/>
      <sz val="10"/>
      <color theme="2" tint="-0.499984740745262"/>
      <name val="Arial"/>
      <charset val="186"/>
    </font>
    <font>
      <b/>
      <sz val="10"/>
      <color rgb="FF00B050"/>
      <name val="Arial"/>
      <charset val="186"/>
    </font>
    <font>
      <b/>
      <sz val="10"/>
      <color rgb="FFCC0000"/>
      <name val="Arial"/>
      <charset val="186"/>
    </font>
    <font>
      <sz val="10"/>
      <name val="Arial"/>
      <charset val="186"/>
    </font>
    <font>
      <sz val="10"/>
      <color rgb="FF0070C0"/>
      <name val="Arial"/>
      <charset val="186"/>
    </font>
    <font>
      <b/>
      <sz val="10"/>
      <color theme="0" tint="-0.349986266670736"/>
      <name val="Arial"/>
      <charset val="186"/>
    </font>
    <font>
      <b/>
      <sz val="10"/>
      <color theme="1"/>
      <name val="Calibri"/>
      <charset val="186"/>
      <scheme val="minor"/>
    </font>
    <font>
      <u/>
      <sz val="10"/>
      <color theme="10"/>
      <name val="Arial"/>
      <charset val="186"/>
    </font>
    <font>
      <sz val="10"/>
      <color rgb="FFCC0000"/>
      <name val="Arial"/>
      <charset val="186"/>
    </font>
    <font>
      <sz val="10"/>
      <color rgb="FFFF0000"/>
      <name val="Arial"/>
      <charset val="186"/>
    </font>
    <font>
      <b/>
      <sz val="9"/>
      <color theme="1"/>
      <name val="Arial"/>
      <charset val="186"/>
    </font>
    <font>
      <b/>
      <sz val="10"/>
      <color rgb="FFCC0000"/>
      <name val="Calibri"/>
      <charset val="186"/>
      <scheme val="minor"/>
    </font>
    <font>
      <b/>
      <sz val="10"/>
      <color theme="0" tint="-0.249977111117893"/>
      <name val="Arial"/>
      <charset val="186"/>
    </font>
    <font>
      <sz val="10"/>
      <color theme="0" tint="-0.149998474074526"/>
      <name val="Arial"/>
      <charset val="186"/>
    </font>
    <font>
      <b/>
      <sz val="10"/>
      <color theme="0" tint="-0.149998474074526"/>
      <name val="Arial"/>
      <charset val="186"/>
    </font>
    <font>
      <sz val="10"/>
      <color rgb="FF00B050"/>
      <name val="Arial"/>
      <charset val="186"/>
    </font>
    <font>
      <sz val="10"/>
      <color theme="2" tint="-0.499984740745262"/>
      <name val="Arial"/>
      <charset val="186"/>
    </font>
    <font>
      <b/>
      <u/>
      <sz val="10"/>
      <name val="Arial"/>
      <charset val="186"/>
    </font>
    <font>
      <u/>
      <sz val="10"/>
      <color theme="0" tint="-0.35"/>
      <name val="Arial"/>
      <charset val="186"/>
    </font>
    <font>
      <sz val="10"/>
      <color theme="0" tint="-0.35"/>
      <name val="Arial"/>
      <charset val="186"/>
    </font>
    <font>
      <u/>
      <sz val="10"/>
      <color rgb="FFA6A6A6"/>
      <name val="Arial"/>
      <charset val="186"/>
    </font>
    <font>
      <u/>
      <sz val="10"/>
      <name val="Arial"/>
      <charset val="186"/>
    </font>
    <font>
      <sz val="10"/>
      <color rgb="FFA6A6A6"/>
      <name val="Arial"/>
      <charset val="186"/>
    </font>
    <font>
      <i/>
      <sz val="10"/>
      <color theme="8" tint="0.399975585192419"/>
      <name val="Arial"/>
      <charset val="186"/>
    </font>
    <font>
      <i/>
      <u/>
      <sz val="10"/>
      <color theme="8" tint="0.399975585192419"/>
      <name val="Arial"/>
      <charset val="186"/>
    </font>
    <font>
      <u/>
      <sz val="10"/>
      <color rgb="FF800080"/>
      <name val="Arial"/>
      <charset val="186"/>
    </font>
    <font>
      <b/>
      <u/>
      <sz val="10"/>
      <color rgb="FFA6A6A6"/>
      <name val="Arial"/>
      <charset val="186"/>
    </font>
    <font>
      <b/>
      <sz val="10"/>
      <color rgb="FFA6A6A6"/>
      <name val="Arial"/>
      <charset val="186"/>
    </font>
    <font>
      <i/>
      <sz val="10"/>
      <color theme="8" tint="-0.249977111117893"/>
      <name val="Arial"/>
      <charset val="186"/>
    </font>
    <font>
      <i/>
      <sz val="10"/>
      <name val="Arial"/>
      <charset val="186"/>
    </font>
    <font>
      <b/>
      <sz val="10"/>
      <color theme="0" tint="-0.499984740745262"/>
      <name val="Arial"/>
      <charset val="186"/>
    </font>
    <font>
      <i/>
      <u/>
      <sz val="10"/>
      <color theme="8" tint="-0.249977111117893"/>
      <name val="Arial"/>
      <charset val="186"/>
    </font>
    <font>
      <i/>
      <u/>
      <sz val="10"/>
      <name val="Arial"/>
      <charset val="186"/>
    </font>
    <font>
      <u/>
      <sz val="10"/>
      <color theme="0" tint="-0.5"/>
      <name val="Arial"/>
      <charset val="186"/>
    </font>
    <font>
      <u/>
      <sz val="10"/>
      <color rgb="FF0000FF"/>
      <name val="Arial"/>
      <charset val="186"/>
    </font>
    <font>
      <sz val="10"/>
      <color theme="0" tint="-0.499984740745262"/>
      <name val="Arial"/>
      <charset val="186"/>
    </font>
    <font>
      <b/>
      <u/>
      <sz val="10"/>
      <color rgb="FF800080"/>
      <name val="Arial"/>
      <charset val="186"/>
    </font>
    <font>
      <b/>
      <u/>
      <sz val="10"/>
      <color theme="10"/>
      <name val="Arial"/>
      <charset val="186"/>
    </font>
    <font>
      <strike/>
      <sz val="10"/>
      <name val="Arial"/>
      <charset val="186"/>
    </font>
    <font>
      <strike/>
      <sz val="10"/>
      <color rgb="FF000000"/>
      <name val="Arial"/>
      <charset val="186"/>
    </font>
    <font>
      <strike/>
      <u/>
      <sz val="10"/>
      <color theme="1"/>
      <name val="Arial"/>
      <charset val="186"/>
    </font>
    <font>
      <sz val="11"/>
      <color theme="1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u/>
      <sz val="11"/>
      <color theme="10"/>
      <name val="Calibri"/>
      <charset val="186"/>
      <scheme val="minor"/>
    </font>
    <font>
      <u/>
      <sz val="10"/>
      <color theme="10"/>
      <name val="Times New Roman"/>
      <charset val="186"/>
    </font>
    <font>
      <sz val="11"/>
      <color theme="1"/>
      <name val="Calibri"/>
      <charset val="186"/>
      <scheme val="minor"/>
    </font>
    <font>
      <sz val="10"/>
      <color rgb="FF000000"/>
      <name val="Times New Roman"/>
      <charset val="186"/>
    </font>
    <font>
      <sz val="10"/>
      <name val="Arial"/>
      <charset val="204"/>
    </font>
    <font>
      <sz val="10"/>
      <color rgb="FF000000"/>
      <name val="Arial"/>
      <charset val="186"/>
    </font>
    <font>
      <sz val="10"/>
      <color indexed="8"/>
      <name val="Times New Roman"/>
      <charset val="186"/>
    </font>
    <font>
      <sz val="11"/>
      <color indexed="8"/>
      <name val="Calibri"/>
      <charset val="186"/>
    </font>
    <font>
      <sz val="11"/>
      <color rgb="FF000000"/>
      <name val="Calibri"/>
      <charset val="134"/>
      <scheme val="minor"/>
    </font>
    <font>
      <sz val="8"/>
      <color indexed="8"/>
      <name val="Arial Narrow"/>
      <charset val="186"/>
    </font>
    <font>
      <b/>
      <sz val="10"/>
      <color theme="9" tint="-0.249977111117893"/>
      <name val="Arial"/>
      <charset val="186"/>
    </font>
    <font>
      <b/>
      <sz val="10"/>
      <color rgb="FFC00000"/>
      <name val="Arial"/>
      <charset val="186"/>
    </font>
    <font>
      <b/>
      <sz val="8"/>
      <name val="Tahoma"/>
      <charset val="186"/>
    </font>
    <font>
      <sz val="9"/>
      <name val="Times New Roman"/>
      <charset val="0"/>
    </font>
    <font>
      <sz val="8"/>
      <name val="Tahoma"/>
      <charset val="186"/>
    </font>
  </fonts>
  <fills count="49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0" tint="-0.05"/>
        <bgColor indexed="64"/>
      </patternFill>
    </fill>
    <fill>
      <patternFill patternType="solid">
        <fgColor theme="4" tint="0.8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22"/>
        <bgColor indexed="31"/>
      </patternFill>
    </fill>
  </fills>
  <borders count="1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theme="0" tint="-0.249946592608417"/>
      </left>
      <right style="medium">
        <color auto="1"/>
      </right>
      <top style="medium">
        <color auto="1"/>
      </top>
      <bottom style="thin">
        <color theme="0" tint="-0.249946592608417"/>
      </bottom>
      <diagonal/>
    </border>
    <border>
      <left style="medium">
        <color rgb="FF000000"/>
      </left>
      <right/>
      <top style="medium">
        <color auto="1"/>
      </top>
      <bottom/>
      <diagonal/>
    </border>
    <border>
      <left style="thin">
        <color theme="0" tint="-0.249946592608417"/>
      </left>
      <right/>
      <top style="medium">
        <color auto="1"/>
      </top>
      <bottom style="thin">
        <color theme="0" tint="-0.249946592608417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rgb="FF000000"/>
      </left>
      <right/>
      <top/>
      <bottom style="medium">
        <color auto="1"/>
      </bottom>
      <diagonal/>
    </border>
    <border>
      <left/>
      <right style="medium">
        <color rgb="FF000000"/>
      </right>
      <top/>
      <bottom style="medium">
        <color auto="1"/>
      </bottom>
      <diagonal/>
    </border>
    <border>
      <left style="thin">
        <color theme="0" tint="-0.249946592608417"/>
      </left>
      <right/>
      <top/>
      <bottom style="thin">
        <color theme="0" tint="-0.249946592608417"/>
      </bottom>
      <diagonal/>
    </border>
    <border>
      <left style="thin">
        <color theme="0" tint="-0.249946592608417"/>
      </left>
      <right style="medium">
        <color rgb="FF000000"/>
      </right>
      <top/>
      <bottom style="thin">
        <color theme="0" tint="-0.249946592608417"/>
      </bottom>
      <diagonal/>
    </border>
    <border>
      <left style="medium">
        <color auto="1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auto="1"/>
      </left>
      <right/>
      <top style="medium">
        <color rgb="FF000000"/>
      </top>
      <bottom/>
      <diagonal/>
    </border>
    <border>
      <left style="thin">
        <color theme="0" tint="-0.249946592608417"/>
      </left>
      <right/>
      <top style="medium">
        <color rgb="FF000000"/>
      </top>
      <bottom style="thin">
        <color theme="0" tint="-0.249946592608417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theme="0" tint="-0.249946592608417"/>
      </left>
      <right style="medium">
        <color rgb="FF000000"/>
      </right>
      <top style="medium">
        <color rgb="FF000000"/>
      </top>
      <bottom style="thin">
        <color theme="0" tint="-0.249946592608417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dashDot">
        <color rgb="FF000000"/>
      </bottom>
      <diagonal/>
    </border>
    <border>
      <left/>
      <right/>
      <top/>
      <bottom style="dashDot">
        <color rgb="FF000000"/>
      </bottom>
      <diagonal/>
    </border>
    <border>
      <left style="medium">
        <color rgb="FF000000"/>
      </left>
      <right/>
      <top/>
      <bottom style="thin">
        <color theme="8" tint="0.399945066682943"/>
      </bottom>
      <diagonal/>
    </border>
    <border>
      <left/>
      <right/>
      <top/>
      <bottom style="thin">
        <color theme="8" tint="0.399945066682943"/>
      </bottom>
      <diagonal/>
    </border>
    <border>
      <left style="medium">
        <color rgb="FF000000"/>
      </left>
      <right/>
      <top style="thin">
        <color theme="8" tint="0.399945066682943"/>
      </top>
      <bottom style="medium">
        <color rgb="FF000000"/>
      </bottom>
      <diagonal/>
    </border>
    <border>
      <left/>
      <right/>
      <top style="thin">
        <color theme="8" tint="0.399945066682943"/>
      </top>
      <bottom style="medium">
        <color rgb="FF000000"/>
      </bottom>
      <diagonal/>
    </border>
    <border>
      <left style="thin">
        <color theme="0" tint="-0.249946592608417"/>
      </left>
      <right style="thin">
        <color rgb="FF000000"/>
      </right>
      <top style="medium">
        <color rgb="FF000000"/>
      </top>
      <bottom style="thin">
        <color theme="0" tint="-0.249946592608417"/>
      </bottom>
      <diagonal/>
    </border>
    <border>
      <left style="thin">
        <color theme="0" tint="-0.249946592608417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dashDot">
        <color rgb="FF000000"/>
      </top>
      <bottom style="thin">
        <color theme="8" tint="0.399945066682943"/>
      </bottom>
      <diagonal/>
    </border>
    <border>
      <left/>
      <right/>
      <top style="dashDot">
        <color rgb="FF000000"/>
      </top>
      <bottom style="thin">
        <color theme="8" tint="0.399945066682943"/>
      </bottom>
      <diagonal/>
    </border>
    <border>
      <left style="thin">
        <color theme="0" tint="-0.249946592608417"/>
      </left>
      <right style="thin">
        <color rgb="FF000000"/>
      </right>
      <top/>
      <bottom style="thin">
        <color theme="0" tint="-0.249946592608417"/>
      </bottom>
      <diagonal/>
    </border>
    <border>
      <left/>
      <right style="thin">
        <color rgb="FF000000"/>
      </right>
      <top/>
      <bottom/>
      <diagonal/>
    </border>
    <border>
      <left style="thick">
        <color rgb="FF000000"/>
      </left>
      <right/>
      <top/>
      <bottom/>
      <diagonal/>
    </border>
    <border>
      <left style="thick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auto="1"/>
      </right>
      <top style="thin">
        <color theme="0" tint="-0.249946592608417"/>
      </top>
      <bottom/>
      <diagonal/>
    </border>
    <border>
      <left style="medium">
        <color auto="1"/>
      </left>
      <right/>
      <top/>
      <bottom style="dashDot">
        <color auto="1"/>
      </bottom>
      <diagonal/>
    </border>
    <border>
      <left/>
      <right style="medium">
        <color auto="1"/>
      </right>
      <top/>
      <bottom style="dashDot">
        <color auto="1"/>
      </bottom>
      <diagonal/>
    </border>
    <border>
      <left style="medium">
        <color auto="1"/>
      </left>
      <right/>
      <top style="dashDot">
        <color auto="1"/>
      </top>
      <bottom/>
      <diagonal/>
    </border>
    <border>
      <left/>
      <right style="medium">
        <color auto="1"/>
      </right>
      <top style="dashDot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rgb="FF000000"/>
      </bottom>
      <diagonal/>
    </border>
    <border>
      <left style="thin">
        <color theme="0" tint="-0.249946592608417"/>
      </left>
      <right style="medium">
        <color indexed="8"/>
      </right>
      <top/>
      <bottom style="thin">
        <color theme="0" tint="-0.249946592608417"/>
      </bottom>
      <diagonal/>
    </border>
    <border>
      <left style="medium">
        <color indexed="8"/>
      </left>
      <right/>
      <top/>
      <bottom style="dashDot">
        <color indexed="8"/>
      </bottom>
      <diagonal/>
    </border>
    <border>
      <left/>
      <right style="medium">
        <color auto="1"/>
      </right>
      <top/>
      <bottom style="medium">
        <color indexed="8"/>
      </bottom>
      <diagonal/>
    </border>
    <border>
      <left/>
      <right style="medium">
        <color indexed="8"/>
      </right>
      <top/>
      <bottom/>
      <diagonal/>
    </border>
    <border>
      <left style="thin">
        <color theme="0" tint="-0.249946592608417"/>
      </left>
      <right style="medium">
        <color auto="1"/>
      </right>
      <top style="medium">
        <color rgb="FF000000"/>
      </top>
      <bottom style="thin">
        <color theme="0" tint="-0.249946592608417"/>
      </bottom>
      <diagonal/>
    </border>
    <border>
      <left/>
      <right/>
      <top style="medium">
        <color indexed="8"/>
      </top>
      <bottom/>
      <diagonal/>
    </border>
    <border>
      <left style="thin">
        <color theme="0" tint="-0.249946592608417"/>
      </left>
      <right style="medium">
        <color indexed="8"/>
      </right>
      <top style="medium">
        <color indexed="8"/>
      </top>
      <bottom style="thin">
        <color theme="0" tint="-0.249946592608417"/>
      </bottom>
      <diagonal/>
    </border>
    <border>
      <left style="thin">
        <color theme="0" tint="-0.249946592608417"/>
      </left>
      <right style="medium">
        <color indexed="8"/>
      </right>
      <top style="medium">
        <color auto="1"/>
      </top>
      <bottom style="thin">
        <color theme="0" tint="-0.249946592608417"/>
      </bottom>
      <diagonal/>
    </border>
    <border>
      <left style="medium">
        <color indexed="8"/>
      </left>
      <right/>
      <top/>
      <bottom style="dashDot">
        <color auto="1"/>
      </bottom>
      <diagonal/>
    </border>
    <border>
      <left/>
      <right style="medium">
        <color theme="1"/>
      </right>
      <top/>
      <bottom style="dashDot">
        <color auto="1"/>
      </bottom>
      <diagonal/>
    </border>
    <border>
      <left style="medium">
        <color rgb="FF000000"/>
      </left>
      <right/>
      <top style="dashDot">
        <color auto="1"/>
      </top>
      <bottom/>
      <diagonal/>
    </border>
    <border>
      <left/>
      <right style="medium">
        <color rgb="FF000000"/>
      </right>
      <top style="dashDot">
        <color rgb="FF000000"/>
      </top>
      <bottom/>
      <diagonal/>
    </border>
    <border>
      <left/>
      <right/>
      <top/>
      <bottom style="thick">
        <color rgb="FF000000"/>
      </bottom>
      <diagonal/>
    </border>
    <border>
      <left/>
      <right/>
      <top/>
      <bottom style="dashDot">
        <color auto="1"/>
      </bottom>
      <diagonal/>
    </border>
    <border>
      <left/>
      <right style="medium">
        <color auto="1"/>
      </right>
      <top/>
      <bottom style="dashDot">
        <color rgb="FF000000"/>
      </bottom>
      <diagonal/>
    </border>
    <border>
      <left/>
      <right style="medium">
        <color rgb="FF000000"/>
      </right>
      <top/>
      <bottom style="dashDot">
        <color rgb="FF000000"/>
      </bottom>
      <diagonal/>
    </border>
    <border>
      <left/>
      <right style="medium">
        <color rgb="FF000000"/>
      </right>
      <top/>
      <bottom style="thin">
        <color theme="8" tint="0.399945066682943"/>
      </bottom>
      <diagonal/>
    </border>
    <border>
      <left/>
      <right style="medium">
        <color rgb="FF000000"/>
      </right>
      <top style="thin">
        <color theme="8" tint="0.399945066682943"/>
      </top>
      <bottom style="medium">
        <color rgb="FF000000"/>
      </bottom>
      <diagonal/>
    </border>
    <border>
      <left style="thin">
        <color theme="0" tint="-0.249946592608417"/>
      </left>
      <right style="medium">
        <color rgb="FF000000"/>
      </right>
      <top style="medium">
        <color auto="1"/>
      </top>
      <bottom style="thin">
        <color theme="0" tint="-0.249946592608417"/>
      </bottom>
      <diagonal/>
    </border>
    <border>
      <left/>
      <right style="medium">
        <color rgb="FF000000"/>
      </right>
      <top style="thin">
        <color theme="0" tint="-0.249946592608417"/>
      </top>
      <bottom/>
      <diagonal/>
    </border>
    <border>
      <left/>
      <right style="medium">
        <color rgb="FF000000"/>
      </right>
      <top style="dashDot">
        <color rgb="FF000000"/>
      </top>
      <bottom style="thin">
        <color theme="8" tint="0.399945066682943"/>
      </bottom>
      <diagonal/>
    </border>
    <border>
      <left/>
      <right/>
      <top style="thin">
        <color theme="8" tint="0.399945066682943"/>
      </top>
      <bottom style="medium">
        <color auto="1"/>
      </bottom>
      <diagonal/>
    </border>
    <border>
      <left/>
      <right style="medium">
        <color rgb="FF000000"/>
      </right>
      <top style="thin">
        <color theme="8" tint="0.399945066682943"/>
      </top>
      <bottom style="medium">
        <color auto="1"/>
      </bottom>
      <diagonal/>
    </border>
    <border>
      <left style="thin">
        <color theme="0" tint="-0.249946592608417"/>
      </left>
      <right/>
      <top style="medium">
        <color rgb="FF000000"/>
      </top>
      <bottom/>
      <diagonal/>
    </border>
    <border>
      <left/>
      <right style="medium">
        <color rgb="FF000000"/>
      </right>
      <top/>
      <bottom style="dashDotDot">
        <color rgb="FF000000"/>
      </bottom>
      <diagonal/>
    </border>
    <border>
      <left/>
      <right/>
      <top/>
      <bottom style="dashDotDot">
        <color rgb="FF000000"/>
      </bottom>
      <diagonal/>
    </border>
    <border>
      <left style="medium">
        <color rgb="FF000000"/>
      </left>
      <right/>
      <top/>
      <bottom style="dashDotDot">
        <color rgb="FF000000"/>
      </bottom>
      <diagonal/>
    </border>
    <border>
      <left style="thick">
        <color rgb="FF000000"/>
      </left>
      <right/>
      <top/>
      <bottom style="medium">
        <color rgb="FF000000"/>
      </bottom>
      <diagonal/>
    </border>
    <border>
      <left style="medium">
        <color auto="1"/>
      </left>
      <right/>
      <top/>
      <bottom style="dashDot">
        <color rgb="FF000000"/>
      </bottom>
      <diagonal/>
    </border>
    <border>
      <left style="medium">
        <color rgb="FF000000"/>
      </left>
      <right/>
      <top style="dashDot">
        <color rgb="FF000000"/>
      </top>
      <bottom/>
      <diagonal/>
    </border>
    <border>
      <left style="medium">
        <color rgb="FF000000"/>
      </left>
      <right/>
      <top/>
      <bottom style="medium">
        <color indexed="8"/>
      </bottom>
      <diagonal/>
    </border>
    <border>
      <left style="thin">
        <color theme="0" tint="-0.249946592608417"/>
      </left>
      <right style="thick">
        <color auto="1"/>
      </right>
      <top/>
      <bottom style="thin">
        <color theme="0" tint="-0.249946592608417"/>
      </bottom>
      <diagonal/>
    </border>
    <border>
      <left style="thin">
        <color theme="0" tint="-0.249946592608417"/>
      </left>
      <right style="medium">
        <color auto="1"/>
      </right>
      <top/>
      <bottom style="thin">
        <color theme="0" tint="-0.249946592608417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auto="1"/>
      </right>
      <top style="dashDot">
        <color rgb="FF000000"/>
      </top>
      <bottom style="thin">
        <color theme="8" tint="0.399945066682943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5">
    <xf numFmtId="176" fontId="0" fillId="0" borderId="0"/>
    <xf numFmtId="177" fontId="58" fillId="0" borderId="0" applyFont="0" applyFill="0" applyBorder="0" applyAlignment="0" applyProtection="0">
      <alignment vertical="center"/>
    </xf>
    <xf numFmtId="44" fontId="58" fillId="0" borderId="0" applyFont="0" applyFill="0" applyBorder="0" applyAlignment="0" applyProtection="0">
      <alignment vertical="center"/>
    </xf>
    <xf numFmtId="9" fontId="58" fillId="0" borderId="0" applyFont="0" applyFill="0" applyBorder="0" applyAlignment="0" applyProtection="0">
      <alignment vertical="center"/>
    </xf>
    <xf numFmtId="178" fontId="58" fillId="0" borderId="0" applyFont="0" applyFill="0" applyBorder="0" applyAlignment="0" applyProtection="0">
      <alignment vertical="center"/>
    </xf>
    <xf numFmtId="42" fontId="58" fillId="0" borderId="0" applyFont="0" applyFill="0" applyBorder="0" applyAlignment="0" applyProtection="0">
      <alignment vertical="center"/>
    </xf>
    <xf numFmtId="176" fontId="24" fillId="0" borderId="0" applyNumberFormat="0" applyFill="0" applyBorder="0" applyAlignment="0" applyProtection="0"/>
    <xf numFmtId="0" fontId="59" fillId="0" borderId="0" applyNumberFormat="0" applyFill="0" applyBorder="0" applyAlignment="0" applyProtection="0">
      <alignment vertical="center"/>
    </xf>
    <xf numFmtId="0" fontId="58" fillId="10" borderId="114" applyNumberFormat="0" applyFont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3" fillId="0" borderId="115" applyNumberFormat="0" applyFill="0" applyAlignment="0" applyProtection="0">
      <alignment vertical="center"/>
    </xf>
    <xf numFmtId="0" fontId="64" fillId="0" borderId="115" applyNumberFormat="0" applyFill="0" applyAlignment="0" applyProtection="0">
      <alignment vertical="center"/>
    </xf>
    <xf numFmtId="0" fontId="65" fillId="0" borderId="116" applyNumberFormat="0" applyFill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6" fillId="8" borderId="117" applyNumberFormat="0" applyAlignment="0" applyProtection="0">
      <alignment vertical="center"/>
    </xf>
    <xf numFmtId="0" fontId="67" fillId="21" borderId="118" applyNumberFormat="0" applyAlignment="0" applyProtection="0">
      <alignment vertical="center"/>
    </xf>
    <xf numFmtId="0" fontId="68" fillId="21" borderId="117" applyNumberFormat="0" applyAlignment="0" applyProtection="0">
      <alignment vertical="center"/>
    </xf>
    <xf numFmtId="0" fontId="69" fillId="22" borderId="119" applyNumberFormat="0" applyAlignment="0" applyProtection="0">
      <alignment vertical="center"/>
    </xf>
    <xf numFmtId="0" fontId="70" fillId="0" borderId="120" applyNumberFormat="0" applyFill="0" applyAlignment="0" applyProtection="0">
      <alignment vertical="center"/>
    </xf>
    <xf numFmtId="0" fontId="71" fillId="0" borderId="121" applyNumberFormat="0" applyFill="0" applyAlignment="0" applyProtection="0">
      <alignment vertical="center"/>
    </xf>
    <xf numFmtId="0" fontId="72" fillId="23" borderId="0" applyNumberFormat="0" applyBorder="0" applyAlignment="0" applyProtection="0">
      <alignment vertical="center"/>
    </xf>
    <xf numFmtId="0" fontId="73" fillId="24" borderId="0" applyNumberFormat="0" applyBorder="0" applyAlignment="0" applyProtection="0">
      <alignment vertical="center"/>
    </xf>
    <xf numFmtId="0" fontId="74" fillId="25" borderId="0" applyNumberFormat="0" applyBorder="0" applyAlignment="0" applyProtection="0">
      <alignment vertical="center"/>
    </xf>
    <xf numFmtId="0" fontId="75" fillId="26" borderId="0" applyNumberFormat="0" applyBorder="0" applyAlignment="0" applyProtection="0">
      <alignment vertical="center"/>
    </xf>
    <xf numFmtId="0" fontId="76" fillId="27" borderId="0" applyNumberFormat="0" applyBorder="0" applyAlignment="0" applyProtection="0">
      <alignment vertical="center"/>
    </xf>
    <xf numFmtId="0" fontId="76" fillId="28" borderId="0" applyNumberFormat="0" applyBorder="0" applyAlignment="0" applyProtection="0">
      <alignment vertical="center"/>
    </xf>
    <xf numFmtId="0" fontId="75" fillId="29" borderId="0" applyNumberFormat="0" applyBorder="0" applyAlignment="0" applyProtection="0">
      <alignment vertical="center"/>
    </xf>
    <xf numFmtId="0" fontId="75" fillId="30" borderId="0" applyNumberFormat="0" applyBorder="0" applyAlignment="0" applyProtection="0">
      <alignment vertical="center"/>
    </xf>
    <xf numFmtId="0" fontId="76" fillId="31" borderId="0" applyNumberFormat="0" applyBorder="0" applyAlignment="0" applyProtection="0">
      <alignment vertical="center"/>
    </xf>
    <xf numFmtId="0" fontId="76" fillId="32" borderId="0" applyNumberFormat="0" applyBorder="0" applyAlignment="0" applyProtection="0">
      <alignment vertical="center"/>
    </xf>
    <xf numFmtId="0" fontId="75" fillId="33" borderId="0" applyNumberFormat="0" applyBorder="0" applyAlignment="0" applyProtection="0">
      <alignment vertical="center"/>
    </xf>
    <xf numFmtId="0" fontId="75" fillId="34" borderId="0" applyNumberFormat="0" applyBorder="0" applyAlignment="0" applyProtection="0">
      <alignment vertical="center"/>
    </xf>
    <xf numFmtId="0" fontId="76" fillId="35" borderId="0" applyNumberFormat="0" applyBorder="0" applyAlignment="0" applyProtection="0">
      <alignment vertical="center"/>
    </xf>
    <xf numFmtId="0" fontId="76" fillId="36" borderId="0" applyNumberFormat="0" applyBorder="0" applyAlignment="0" applyProtection="0">
      <alignment vertical="center"/>
    </xf>
    <xf numFmtId="0" fontId="75" fillId="37" borderId="0" applyNumberFormat="0" applyBorder="0" applyAlignment="0" applyProtection="0">
      <alignment vertical="center"/>
    </xf>
    <xf numFmtId="0" fontId="75" fillId="38" borderId="0" applyNumberFormat="0" applyBorder="0" applyAlignment="0" applyProtection="0">
      <alignment vertical="center"/>
    </xf>
    <xf numFmtId="0" fontId="76" fillId="39" borderId="0" applyNumberFormat="0" applyBorder="0" applyAlignment="0" applyProtection="0">
      <alignment vertical="center"/>
    </xf>
    <xf numFmtId="0" fontId="76" fillId="40" borderId="0" applyNumberFormat="0" applyBorder="0" applyAlignment="0" applyProtection="0">
      <alignment vertical="center"/>
    </xf>
    <xf numFmtId="0" fontId="75" fillId="41" borderId="0" applyNumberFormat="0" applyBorder="0" applyAlignment="0" applyProtection="0">
      <alignment vertical="center"/>
    </xf>
    <xf numFmtId="0" fontId="75" fillId="42" borderId="0" applyNumberFormat="0" applyBorder="0" applyAlignment="0" applyProtection="0">
      <alignment vertical="center"/>
    </xf>
    <xf numFmtId="0" fontId="76" fillId="43" borderId="0" applyNumberFormat="0" applyBorder="0" applyAlignment="0" applyProtection="0">
      <alignment vertical="center"/>
    </xf>
    <xf numFmtId="0" fontId="76" fillId="44" borderId="0" applyNumberFormat="0" applyBorder="0" applyAlignment="0" applyProtection="0">
      <alignment vertical="center"/>
    </xf>
    <xf numFmtId="0" fontId="75" fillId="45" borderId="0" applyNumberFormat="0" applyBorder="0" applyAlignment="0" applyProtection="0">
      <alignment vertical="center"/>
    </xf>
    <xf numFmtId="0" fontId="75" fillId="46" borderId="0" applyNumberFormat="0" applyBorder="0" applyAlignment="0" applyProtection="0">
      <alignment vertical="center"/>
    </xf>
    <xf numFmtId="0" fontId="76" fillId="15" borderId="0" applyNumberFormat="0" applyBorder="0" applyAlignment="0" applyProtection="0">
      <alignment vertical="center"/>
    </xf>
    <xf numFmtId="0" fontId="76" fillId="20" borderId="0" applyNumberFormat="0" applyBorder="0" applyAlignment="0" applyProtection="0">
      <alignment vertical="center"/>
    </xf>
    <xf numFmtId="0" fontId="75" fillId="47" borderId="0" applyNumberFormat="0" applyBorder="0" applyAlignment="0" applyProtection="0">
      <alignment vertical="center"/>
    </xf>
    <xf numFmtId="176" fontId="77" fillId="0" borderId="0" applyNumberFormat="0" applyFill="0" applyBorder="0" applyAlignment="0" applyProtection="0"/>
    <xf numFmtId="176" fontId="77" fillId="0" borderId="0" applyNumberFormat="0" applyFill="0" applyBorder="0" applyAlignment="0" applyProtection="0"/>
    <xf numFmtId="176" fontId="77" fillId="0" borderId="0" applyNumberFormat="0" applyFill="0" applyBorder="0" applyAlignment="0" applyProtection="0"/>
    <xf numFmtId="176" fontId="77" fillId="0" borderId="0" applyNumberFormat="0" applyFill="0" applyBorder="0" applyAlignment="0" applyProtection="0"/>
    <xf numFmtId="176" fontId="78" fillId="0" borderId="0" applyNumberFormat="0" applyFill="0" applyBorder="0" applyAlignment="0" applyProtection="0"/>
    <xf numFmtId="176" fontId="24" fillId="0" borderId="0" applyNumberFormat="0" applyFill="0" applyBorder="0" applyAlignment="0" applyProtection="0"/>
    <xf numFmtId="176" fontId="24" fillId="0" borderId="0" applyNumberFormat="0" applyFill="0" applyBorder="0" applyAlignment="0" applyProtection="0"/>
    <xf numFmtId="176" fontId="0" fillId="0" borderId="0"/>
    <xf numFmtId="176" fontId="58" fillId="0" borderId="0"/>
    <xf numFmtId="176" fontId="0" fillId="0" borderId="0"/>
    <xf numFmtId="176" fontId="0" fillId="0" borderId="0"/>
    <xf numFmtId="176" fontId="0" fillId="0" borderId="0"/>
    <xf numFmtId="176" fontId="79" fillId="0" borderId="0"/>
    <xf numFmtId="176" fontId="80" fillId="0" borderId="0"/>
    <xf numFmtId="176" fontId="80" fillId="0" borderId="0"/>
    <xf numFmtId="176" fontId="81" fillId="0" borderId="0"/>
    <xf numFmtId="176" fontId="81" fillId="0" borderId="0"/>
    <xf numFmtId="176" fontId="81" fillId="0" borderId="0"/>
    <xf numFmtId="176" fontId="80" fillId="0" borderId="0"/>
    <xf numFmtId="176" fontId="82" fillId="0" borderId="0"/>
    <xf numFmtId="176" fontId="81" fillId="0" borderId="0"/>
    <xf numFmtId="176" fontId="81" fillId="0" borderId="0"/>
    <xf numFmtId="176" fontId="81" fillId="0" borderId="0"/>
    <xf numFmtId="176" fontId="83" fillId="0" borderId="0"/>
    <xf numFmtId="176" fontId="83" fillId="0" borderId="0"/>
    <xf numFmtId="176" fontId="79" fillId="0" borderId="0"/>
    <xf numFmtId="176" fontId="79" fillId="0" borderId="0"/>
    <xf numFmtId="176" fontId="79" fillId="0" borderId="0"/>
    <xf numFmtId="176" fontId="79" fillId="0" borderId="0"/>
    <xf numFmtId="176" fontId="79" fillId="0" borderId="0"/>
    <xf numFmtId="176" fontId="83" fillId="0" borderId="0"/>
    <xf numFmtId="176" fontId="84" fillId="0" borderId="0"/>
    <xf numFmtId="176" fontId="20" fillId="0" borderId="0"/>
    <xf numFmtId="176" fontId="20" fillId="0" borderId="0"/>
    <xf numFmtId="176" fontId="20" fillId="0" borderId="0"/>
    <xf numFmtId="176" fontId="58" fillId="0" borderId="0"/>
    <xf numFmtId="176" fontId="58" fillId="0" borderId="0"/>
    <xf numFmtId="176" fontId="84" fillId="0" borderId="0"/>
    <xf numFmtId="176" fontId="80" fillId="0" borderId="0"/>
    <xf numFmtId="176" fontId="80" fillId="0" borderId="0"/>
    <xf numFmtId="176" fontId="84" fillId="0" borderId="0"/>
    <xf numFmtId="176" fontId="79" fillId="0" borderId="0"/>
    <xf numFmtId="176" fontId="79" fillId="0" borderId="0"/>
    <xf numFmtId="176" fontId="79" fillId="0" borderId="0"/>
    <xf numFmtId="176" fontId="79" fillId="0" borderId="0"/>
    <xf numFmtId="176" fontId="79" fillId="0" borderId="0"/>
    <xf numFmtId="176" fontId="84" fillId="0" borderId="0"/>
    <xf numFmtId="176" fontId="84" fillId="0" borderId="0"/>
    <xf numFmtId="176" fontId="84" fillId="0" borderId="0"/>
    <xf numFmtId="176" fontId="84" fillId="0" borderId="0"/>
    <xf numFmtId="176" fontId="85" fillId="0" borderId="0"/>
    <xf numFmtId="176" fontId="84" fillId="0" borderId="0"/>
    <xf numFmtId="176" fontId="20" fillId="0" borderId="0"/>
    <xf numFmtId="176" fontId="79" fillId="0" borderId="0"/>
    <xf numFmtId="176" fontId="0" fillId="0" borderId="0"/>
    <xf numFmtId="49" fontId="86" fillId="48" borderId="0" applyBorder="0" applyProtection="0">
      <alignment horizontal="left" vertical="top" wrapText="1"/>
    </xf>
  </cellStyleXfs>
  <cellXfs count="802">
    <xf numFmtId="176" fontId="0" fillId="0" borderId="0" xfId="0"/>
    <xf numFmtId="0" fontId="0" fillId="0" borderId="0" xfId="0" applyNumberFormat="1"/>
    <xf numFmtId="0" fontId="0" fillId="0" borderId="0" xfId="0" applyNumberFormat="1" applyAlignment="1">
      <alignment horizontal="right"/>
    </xf>
    <xf numFmtId="0" fontId="0" fillId="0" borderId="0" xfId="58" applyNumberFormat="1"/>
    <xf numFmtId="0" fontId="1" fillId="0" borderId="0" xfId="58" applyNumberFormat="1" applyFont="1"/>
    <xf numFmtId="0" fontId="0" fillId="0" borderId="0" xfId="79" applyNumberFormat="1" applyFont="1"/>
    <xf numFmtId="0" fontId="0" fillId="0" borderId="0" xfId="77" applyNumberFormat="1" applyFont="1"/>
    <xf numFmtId="0" fontId="2" fillId="0" borderId="1" xfId="58" applyNumberFormat="1" applyFont="1" applyBorder="1" applyAlignment="1">
      <alignment horizontal="center"/>
    </xf>
    <xf numFmtId="0" fontId="2" fillId="0" borderId="2" xfId="58" applyNumberFormat="1" applyFont="1" applyBorder="1" applyAlignment="1"/>
    <xf numFmtId="0" fontId="2" fillId="0" borderId="3" xfId="58" applyNumberFormat="1" applyFont="1" applyBorder="1" applyAlignment="1"/>
    <xf numFmtId="0" fontId="2" fillId="0" borderId="4" xfId="58" applyNumberFormat="1" applyFont="1" applyBorder="1" applyAlignment="1"/>
    <xf numFmtId="0" fontId="2" fillId="0" borderId="1" xfId="58" applyNumberFormat="1" applyFont="1" applyBorder="1" applyAlignment="1">
      <alignment vertical="center"/>
    </xf>
    <xf numFmtId="0" fontId="0" fillId="0" borderId="1" xfId="58" applyNumberFormat="1" applyFont="1" applyBorder="1"/>
    <xf numFmtId="0" fontId="0" fillId="0" borderId="2" xfId="58" applyNumberFormat="1" applyFont="1" applyFill="1" applyBorder="1" applyAlignment="1">
      <alignment horizontal="center" vertical="center"/>
    </xf>
    <xf numFmtId="0" fontId="0" fillId="0" borderId="3" xfId="58" applyNumberFormat="1" applyFont="1" applyFill="1" applyBorder="1" applyAlignment="1">
      <alignment horizontal="center" vertical="center"/>
    </xf>
    <xf numFmtId="0" fontId="0" fillId="0" borderId="3" xfId="58" applyNumberFormat="1" applyFill="1" applyBorder="1" applyAlignment="1">
      <alignment vertical="center"/>
    </xf>
    <xf numFmtId="0" fontId="0" fillId="0" borderId="1" xfId="58" applyNumberFormat="1" applyBorder="1"/>
    <xf numFmtId="0" fontId="0" fillId="0" borderId="1" xfId="77" applyNumberFormat="1" applyFont="1" applyFill="1" applyBorder="1" applyAlignment="1">
      <alignment vertical="center" wrapText="1"/>
    </xf>
    <xf numFmtId="0" fontId="0" fillId="0" borderId="1" xfId="77" applyNumberFormat="1" applyFont="1" applyBorder="1" applyAlignment="1">
      <alignment vertical="center" wrapText="1"/>
    </xf>
    <xf numFmtId="0" fontId="0" fillId="0" borderId="0" xfId="77" applyNumberFormat="1" applyFont="1" applyBorder="1"/>
    <xf numFmtId="0" fontId="0" fillId="0" borderId="0" xfId="77" applyNumberFormat="1" applyFont="1" applyFill="1" applyAlignment="1"/>
    <xf numFmtId="0" fontId="0" fillId="0" borderId="0" xfId="77" applyNumberFormat="1" applyFont="1" applyFill="1" applyBorder="1" applyAlignment="1"/>
    <xf numFmtId="0" fontId="0" fillId="0" borderId="0" xfId="58" applyNumberFormat="1" applyFill="1"/>
    <xf numFmtId="0" fontId="0" fillId="2" borderId="0" xfId="58" applyNumberFormat="1" applyFont="1" applyFill="1" applyAlignment="1">
      <alignment horizontal="right"/>
    </xf>
    <xf numFmtId="0" fontId="0" fillId="0" borderId="0" xfId="58" applyNumberFormat="1" applyFont="1" applyAlignment="1">
      <alignment horizontal="center"/>
    </xf>
    <xf numFmtId="0" fontId="0" fillId="3" borderId="0" xfId="58" applyNumberFormat="1" applyFont="1" applyFill="1" applyAlignment="1">
      <alignment horizontal="right"/>
    </xf>
    <xf numFmtId="0" fontId="0" fillId="4" borderId="0" xfId="58" applyNumberFormat="1" applyFont="1" applyFill="1" applyAlignment="1">
      <alignment horizontal="right"/>
    </xf>
    <xf numFmtId="0" fontId="2" fillId="0" borderId="1" xfId="58" applyNumberFormat="1" applyFont="1" applyBorder="1" applyAlignment="1"/>
    <xf numFmtId="0" fontId="2" fillId="0" borderId="1" xfId="0" applyNumberFormat="1" applyFont="1" applyFill="1" applyBorder="1" applyAlignment="1">
      <alignment horizontal="center" vertical="center"/>
    </xf>
    <xf numFmtId="0" fontId="2" fillId="0" borderId="2" xfId="58" applyNumberFormat="1" applyFont="1" applyFill="1" applyBorder="1" applyAlignment="1">
      <alignment horizontal="center" vertical="center"/>
    </xf>
    <xf numFmtId="0" fontId="2" fillId="5" borderId="0" xfId="58" applyNumberFormat="1" applyFont="1" applyFill="1"/>
    <xf numFmtId="0" fontId="0" fillId="5" borderId="0" xfId="77" applyNumberFormat="1" applyFont="1" applyFill="1"/>
    <xf numFmtId="0" fontId="3" fillId="0" borderId="0" xfId="77" applyNumberFormat="1" applyFont="1" applyAlignment="1">
      <alignment horizontal="right"/>
    </xf>
    <xf numFmtId="0" fontId="4" fillId="0" borderId="0" xfId="77" applyNumberFormat="1" applyFont="1" applyBorder="1"/>
    <xf numFmtId="0" fontId="2" fillId="0" borderId="3" xfId="77" applyNumberFormat="1" applyFont="1" applyBorder="1" applyAlignment="1">
      <alignment horizontal="center"/>
    </xf>
    <xf numFmtId="0" fontId="0" fillId="0" borderId="4" xfId="77" applyNumberFormat="1" applyFont="1" applyBorder="1"/>
    <xf numFmtId="0" fontId="2" fillId="0" borderId="0" xfId="58" applyNumberFormat="1" applyFont="1" applyAlignment="1">
      <alignment horizontal="center"/>
    </xf>
    <xf numFmtId="0" fontId="2" fillId="2" borderId="5" xfId="77" applyNumberFormat="1" applyFont="1" applyFill="1" applyBorder="1" applyAlignment="1">
      <alignment horizontal="center"/>
    </xf>
    <xf numFmtId="0" fontId="2" fillId="0" borderId="5" xfId="77" applyNumberFormat="1" applyFont="1" applyBorder="1" applyAlignment="1">
      <alignment horizontal="center"/>
    </xf>
    <xf numFmtId="0" fontId="0" fillId="0" borderId="4" xfId="58" applyNumberFormat="1" applyFont="1" applyFill="1" applyBorder="1" applyAlignment="1">
      <alignment horizontal="center" vertical="center"/>
    </xf>
    <xf numFmtId="0" fontId="0" fillId="0" borderId="0" xfId="77" applyNumberFormat="1" applyFont="1" applyFill="1" applyAlignment="1">
      <alignment vertical="center"/>
    </xf>
    <xf numFmtId="0" fontId="2" fillId="0" borderId="5" xfId="94" applyNumberFormat="1" applyFont="1" applyBorder="1" applyAlignment="1">
      <alignment horizontal="center" vertical="center"/>
    </xf>
    <xf numFmtId="0" fontId="0" fillId="5" borderId="5" xfId="77" applyNumberFormat="1" applyFont="1" applyFill="1" applyBorder="1" applyAlignment="1">
      <alignment horizontal="center" vertical="center"/>
    </xf>
    <xf numFmtId="0" fontId="0" fillId="5" borderId="5" xfId="77" applyNumberFormat="1" applyFont="1" applyFill="1" applyBorder="1" applyAlignment="1">
      <alignment vertical="center"/>
    </xf>
    <xf numFmtId="0" fontId="0" fillId="0" borderId="0" xfId="77" applyNumberFormat="1" applyFont="1" applyBorder="1" applyAlignment="1"/>
    <xf numFmtId="0" fontId="2" fillId="0" borderId="5" xfId="77" applyNumberFormat="1" applyFont="1" applyFill="1" applyBorder="1" applyAlignment="1">
      <alignment horizontal="center"/>
    </xf>
    <xf numFmtId="0" fontId="2" fillId="0" borderId="5" xfId="94" applyNumberFormat="1" applyFont="1" applyBorder="1" applyAlignment="1">
      <alignment horizontal="center"/>
    </xf>
    <xf numFmtId="0" fontId="0" fillId="5" borderId="0" xfId="58" applyNumberFormat="1" applyFill="1"/>
    <xf numFmtId="0" fontId="0" fillId="0" borderId="5" xfId="77" applyNumberFormat="1" applyFont="1" applyBorder="1" applyAlignment="1">
      <alignment horizontal="center"/>
    </xf>
    <xf numFmtId="0" fontId="0" fillId="0" borderId="0" xfId="77" applyNumberFormat="1" applyFont="1" applyAlignment="1">
      <alignment horizontal="right"/>
    </xf>
    <xf numFmtId="0" fontId="0" fillId="0" borderId="0" xfId="58" applyNumberFormat="1" applyAlignment="1">
      <alignment horizontal="center"/>
    </xf>
    <xf numFmtId="0" fontId="2" fillId="0" borderId="1" xfId="66" applyNumberFormat="1" applyFont="1" applyBorder="1" applyAlignment="1">
      <alignment vertical="center"/>
    </xf>
    <xf numFmtId="0" fontId="0" fillId="0" borderId="1" xfId="94" applyNumberFormat="1" applyFont="1" applyFill="1" applyBorder="1" applyAlignment="1">
      <alignment vertical="center" wrapText="1"/>
    </xf>
    <xf numFmtId="0" fontId="0" fillId="0" borderId="0" xfId="94" applyNumberFormat="1" applyFont="1" applyAlignment="1">
      <alignment vertical="center"/>
    </xf>
    <xf numFmtId="0" fontId="4" fillId="0" borderId="0" xfId="61" applyNumberFormat="1" applyFont="1"/>
    <xf numFmtId="0" fontId="0" fillId="0" borderId="0" xfId="61" applyNumberFormat="1" applyFont="1"/>
    <xf numFmtId="0" fontId="2" fillId="2" borderId="5" xfId="61" applyNumberFormat="1" applyFont="1" applyFill="1" applyBorder="1" applyAlignment="1">
      <alignment horizontal="center"/>
    </xf>
    <xf numFmtId="0" fontId="2" fillId="0" borderId="5" xfId="61" applyNumberFormat="1" applyFont="1" applyBorder="1" applyAlignment="1">
      <alignment horizontal="center"/>
    </xf>
    <xf numFmtId="0" fontId="0" fillId="0" borderId="5" xfId="61" applyNumberFormat="1" applyFont="1" applyBorder="1"/>
    <xf numFmtId="0" fontId="2" fillId="2" borderId="5" xfId="61" applyNumberFormat="1" applyFont="1" applyFill="1" applyBorder="1" applyAlignment="1">
      <alignment horizontal="center" vertical="top"/>
    </xf>
    <xf numFmtId="0" fontId="2" fillId="0" borderId="5" xfId="90" applyNumberFormat="1" applyFont="1" applyBorder="1" applyAlignment="1">
      <alignment horizontal="center"/>
    </xf>
    <xf numFmtId="0" fontId="0" fillId="5" borderId="5" xfId="61" applyNumberFormat="1" applyFont="1" applyFill="1" applyBorder="1"/>
    <xf numFmtId="0" fontId="0" fillId="5" borderId="5" xfId="61" applyNumberFormat="1" applyFont="1" applyFill="1" applyBorder="1" applyAlignment="1">
      <alignment horizontal="center"/>
    </xf>
    <xf numFmtId="0" fontId="5" fillId="0" borderId="0" xfId="90" applyNumberFormat="1" applyFont="1" applyFill="1" applyBorder="1" applyAlignment="1"/>
    <xf numFmtId="0" fontId="6" fillId="0" borderId="0" xfId="90" applyNumberFormat="1" applyFont="1" applyFill="1" applyBorder="1" applyAlignment="1"/>
    <xf numFmtId="0" fontId="6" fillId="0" borderId="0" xfId="90" applyNumberFormat="1" applyFont="1" applyFill="1" applyBorder="1" applyAlignment="1">
      <alignment horizontal="center"/>
    </xf>
    <xf numFmtId="49" fontId="6" fillId="0" borderId="0" xfId="90" applyNumberFormat="1" applyFont="1" applyFill="1" applyBorder="1" applyAlignment="1">
      <alignment horizontal="center"/>
    </xf>
    <xf numFmtId="0" fontId="6" fillId="0" borderId="0" xfId="90" applyNumberFormat="1" applyFont="1" applyFill="1" applyAlignment="1"/>
    <xf numFmtId="0" fontId="7" fillId="0" borderId="0" xfId="90" applyNumberFormat="1" applyFont="1" applyFill="1" applyBorder="1" applyAlignment="1">
      <alignment horizontal="right"/>
    </xf>
    <xf numFmtId="0" fontId="6" fillId="0" borderId="0" xfId="90" applyNumberFormat="1" applyFont="1" applyFill="1" applyAlignment="1">
      <alignment horizontal="left"/>
    </xf>
    <xf numFmtId="0" fontId="7" fillId="0" borderId="0" xfId="90" applyNumberFormat="1" applyFont="1" applyFill="1" applyAlignment="1">
      <alignment horizontal="right"/>
    </xf>
    <xf numFmtId="0" fontId="6" fillId="0" borderId="6" xfId="90" applyNumberFormat="1" applyFont="1" applyFill="1" applyBorder="1" applyAlignment="1"/>
    <xf numFmtId="0" fontId="6" fillId="0" borderId="7" xfId="90" applyNumberFormat="1" applyFont="1" applyFill="1" applyBorder="1" applyAlignment="1"/>
    <xf numFmtId="0" fontId="6" fillId="0" borderId="8" xfId="90" applyNumberFormat="1" applyFont="1" applyFill="1" applyBorder="1" applyAlignment="1"/>
    <xf numFmtId="0" fontId="6" fillId="0" borderId="9" xfId="90" applyNumberFormat="1" applyFont="1" applyFill="1" applyBorder="1" applyAlignment="1">
      <alignment horizontal="left"/>
    </xf>
    <xf numFmtId="0" fontId="0" fillId="0" borderId="6" xfId="58" applyNumberFormat="1" applyBorder="1"/>
    <xf numFmtId="0" fontId="0" fillId="0" borderId="10" xfId="58" applyNumberFormat="1" applyBorder="1"/>
    <xf numFmtId="0" fontId="0" fillId="0" borderId="0" xfId="58" applyNumberFormat="1" applyBorder="1"/>
    <xf numFmtId="0" fontId="0" fillId="0" borderId="11" xfId="58" applyNumberFormat="1" applyBorder="1"/>
    <xf numFmtId="0" fontId="6" fillId="0" borderId="12" xfId="90" applyNumberFormat="1" applyFont="1" applyFill="1" applyBorder="1" applyAlignment="1"/>
    <xf numFmtId="0" fontId="0" fillId="0" borderId="12" xfId="58" applyNumberFormat="1" applyBorder="1"/>
    <xf numFmtId="0" fontId="0" fillId="0" borderId="8" xfId="58" applyNumberFormat="1" applyBorder="1"/>
    <xf numFmtId="0" fontId="6" fillId="0" borderId="0" xfId="90" applyNumberFormat="1" applyFont="1" applyFill="1" applyBorder="1" applyAlignment="1">
      <alignment horizontal="left"/>
    </xf>
    <xf numFmtId="0" fontId="7" fillId="0" borderId="0" xfId="90" applyNumberFormat="1" applyFont="1" applyFill="1" applyAlignment="1"/>
    <xf numFmtId="0" fontId="6" fillId="0" borderId="6" xfId="90" applyNumberFormat="1" applyFont="1" applyFill="1" applyBorder="1" applyAlignment="1">
      <alignment horizontal="left"/>
    </xf>
    <xf numFmtId="0" fontId="0" fillId="0" borderId="6" xfId="58" applyNumberFormat="1" applyBorder="1"/>
    <xf numFmtId="0" fontId="6" fillId="0" borderId="9" xfId="90" applyNumberFormat="1" applyFont="1" applyFill="1" applyBorder="1" applyAlignment="1"/>
    <xf numFmtId="0" fontId="6" fillId="0" borderId="12" xfId="90" applyNumberFormat="1" applyFont="1" applyFill="1" applyBorder="1" applyAlignment="1">
      <alignment horizontal="left"/>
    </xf>
    <xf numFmtId="0" fontId="0" fillId="0" borderId="12" xfId="58" applyNumberFormat="1" applyBorder="1"/>
    <xf numFmtId="0" fontId="6" fillId="0" borderId="0" xfId="90" applyNumberFormat="1" applyFont="1" applyFill="1" applyBorder="1" applyAlignment="1"/>
    <xf numFmtId="0" fontId="6" fillId="0" borderId="0" xfId="90" applyNumberFormat="1" applyFont="1" applyFill="1" applyBorder="1" applyAlignment="1">
      <alignment horizontal="left"/>
    </xf>
    <xf numFmtId="0" fontId="0" fillId="0" borderId="6" xfId="58" applyNumberFormat="1" applyBorder="1"/>
    <xf numFmtId="0" fontId="0" fillId="0" borderId="6" xfId="58" applyNumberFormat="1" applyBorder="1"/>
    <xf numFmtId="0" fontId="6" fillId="0" borderId="0" xfId="0" applyNumberFormat="1" applyFont="1" applyFill="1" applyAlignment="1"/>
    <xf numFmtId="0" fontId="6" fillId="0" borderId="0" xfId="0" applyNumberFormat="1" applyFont="1" applyFill="1" applyAlignment="1"/>
    <xf numFmtId="0" fontId="0" fillId="0" borderId="10" xfId="58" applyNumberFormat="1" applyBorder="1"/>
    <xf numFmtId="0" fontId="0" fillId="0" borderId="11" xfId="58" applyNumberFormat="1" applyBorder="1"/>
    <xf numFmtId="0" fontId="7" fillId="0" borderId="6" xfId="90" applyNumberFormat="1" applyFont="1" applyFill="1" applyBorder="1" applyAlignment="1"/>
    <xf numFmtId="0" fontId="0" fillId="0" borderId="8" xfId="58" applyNumberFormat="1" applyBorder="1"/>
    <xf numFmtId="0" fontId="6" fillId="0" borderId="13" xfId="90" applyNumberFormat="1" applyFont="1" applyFill="1" applyBorder="1" applyAlignment="1"/>
    <xf numFmtId="0" fontId="7" fillId="0" borderId="14" xfId="90" applyNumberFormat="1" applyFont="1" applyFill="1" applyBorder="1" applyAlignment="1"/>
    <xf numFmtId="0" fontId="0" fillId="0" borderId="6" xfId="58" applyNumberFormat="1" applyBorder="1"/>
    <xf numFmtId="0" fontId="0" fillId="0" borderId="10" xfId="58" applyNumberFormat="1" applyBorder="1"/>
    <xf numFmtId="0" fontId="0" fillId="0" borderId="12" xfId="58" applyNumberFormat="1" applyBorder="1"/>
    <xf numFmtId="0" fontId="0" fillId="0" borderId="8" xfId="58" applyNumberFormat="1" applyBorder="1"/>
    <xf numFmtId="0" fontId="7" fillId="0" borderId="0" xfId="90" applyNumberFormat="1" applyFont="1" applyFill="1" applyBorder="1" applyAlignment="1"/>
    <xf numFmtId="0" fontId="0" fillId="0" borderId="10" xfId="58" applyNumberFormat="1" applyBorder="1"/>
    <xf numFmtId="0" fontId="0" fillId="0" borderId="0" xfId="58" applyNumberFormat="1" applyBorder="1"/>
    <xf numFmtId="0" fontId="0" fillId="0" borderId="0" xfId="58" applyNumberFormat="1" applyBorder="1"/>
    <xf numFmtId="0" fontId="0" fillId="0" borderId="11" xfId="58" applyNumberFormat="1" applyBorder="1"/>
    <xf numFmtId="0" fontId="0" fillId="0" borderId="0" xfId="58" applyNumberFormat="1" applyBorder="1"/>
    <xf numFmtId="0" fontId="0" fillId="0" borderId="12" xfId="58" applyNumberFormat="1" applyBorder="1"/>
    <xf numFmtId="0" fontId="0" fillId="0" borderId="8" xfId="58" applyNumberFormat="1" applyBorder="1"/>
    <xf numFmtId="0" fontId="0" fillId="0" borderId="0" xfId="58" applyNumberFormat="1" applyBorder="1"/>
    <xf numFmtId="0" fontId="6" fillId="0" borderId="12" xfId="90" applyNumberFormat="1" applyFont="1" applyFill="1" applyBorder="1" applyAlignment="1"/>
    <xf numFmtId="0" fontId="7" fillId="0" borderId="1" xfId="64" applyNumberFormat="1" applyFont="1" applyFill="1" applyBorder="1" applyAlignment="1">
      <alignment vertical="center"/>
    </xf>
    <xf numFmtId="0" fontId="6" fillId="0" borderId="1" xfId="90" applyNumberFormat="1" applyFont="1" applyFill="1" applyBorder="1" applyAlignment="1">
      <alignment wrapText="1"/>
    </xf>
    <xf numFmtId="0" fontId="2" fillId="0" borderId="4" xfId="58" applyNumberFormat="1" applyFont="1" applyBorder="1" applyAlignment="1">
      <alignment horizontal="center"/>
    </xf>
    <xf numFmtId="0" fontId="2" fillId="0" borderId="3" xfId="58" applyNumberFormat="1" applyFont="1" applyFill="1" applyBorder="1" applyAlignment="1">
      <alignment horizontal="center" vertical="center"/>
    </xf>
    <xf numFmtId="0" fontId="8" fillId="0" borderId="0" xfId="58" applyNumberFormat="1" applyFont="1"/>
    <xf numFmtId="176" fontId="0" fillId="0" borderId="0" xfId="58"/>
    <xf numFmtId="0" fontId="0" fillId="0" borderId="0" xfId="66" applyNumberFormat="1" applyFont="1" applyFill="1" applyAlignment="1"/>
    <xf numFmtId="0" fontId="0" fillId="5" borderId="0" xfId="66" applyNumberFormat="1" applyFont="1" applyFill="1" applyAlignment="1"/>
    <xf numFmtId="0" fontId="9" fillId="0" borderId="0" xfId="98" applyNumberFormat="1" applyFont="1" applyBorder="1" applyAlignment="1"/>
    <xf numFmtId="0" fontId="0" fillId="5" borderId="0" xfId="66" applyNumberFormat="1" applyFont="1" applyFill="1" applyAlignment="1">
      <alignment horizontal="center"/>
    </xf>
    <xf numFmtId="0" fontId="10" fillId="0" borderId="0" xfId="77" applyNumberFormat="1" applyFont="1" applyFill="1" applyBorder="1" applyAlignment="1"/>
    <xf numFmtId="0" fontId="0" fillId="0" borderId="0" xfId="66" applyNumberFormat="1" applyFont="1" applyFill="1" applyAlignment="1">
      <alignment horizontal="center"/>
    </xf>
    <xf numFmtId="0" fontId="11" fillId="0" borderId="15" xfId="66" applyNumberFormat="1" applyFont="1" applyBorder="1" applyAlignment="1">
      <alignment vertical="top" wrapText="1"/>
    </xf>
    <xf numFmtId="0" fontId="11" fillId="0" borderId="16" xfId="66" applyNumberFormat="1" applyFont="1" applyBorder="1" applyAlignment="1">
      <alignment vertical="top" wrapText="1"/>
    </xf>
    <xf numFmtId="0" fontId="11" fillId="0" borderId="17" xfId="66" applyNumberFormat="1" applyFont="1" applyBorder="1" applyAlignment="1">
      <alignment vertical="top" wrapText="1"/>
    </xf>
    <xf numFmtId="0" fontId="0" fillId="5" borderId="16" xfId="66" applyNumberFormat="1" applyFont="1" applyFill="1" applyBorder="1" applyAlignment="1">
      <alignment horizontal="center"/>
    </xf>
    <xf numFmtId="0" fontId="0" fillId="5" borderId="18" xfId="66" applyNumberFormat="1" applyFont="1" applyFill="1" applyBorder="1" applyAlignment="1">
      <alignment horizontal="center"/>
    </xf>
    <xf numFmtId="0" fontId="12" fillId="0" borderId="15" xfId="66" applyNumberFormat="1" applyFont="1" applyFill="1" applyBorder="1" applyAlignment="1"/>
    <xf numFmtId="0" fontId="13" fillId="0" borderId="16" xfId="66" applyNumberFormat="1" applyFont="1" applyBorder="1" applyAlignment="1"/>
    <xf numFmtId="0" fontId="14" fillId="0" borderId="15" xfId="66" applyNumberFormat="1" applyFont="1" applyFill="1" applyBorder="1" applyAlignment="1"/>
    <xf numFmtId="0" fontId="13" fillId="0" borderId="17" xfId="66" applyNumberFormat="1" applyFont="1" applyBorder="1" applyAlignment="1"/>
    <xf numFmtId="0" fontId="15" fillId="0" borderId="15" xfId="66" applyNumberFormat="1" applyFont="1" applyBorder="1" applyAlignment="1">
      <alignment horizontal="center"/>
    </xf>
    <xf numFmtId="0" fontId="13" fillId="0" borderId="15" xfId="66" applyNumberFormat="1" applyFont="1" applyBorder="1" applyAlignment="1"/>
    <xf numFmtId="0" fontId="16" fillId="0" borderId="15" xfId="66" applyNumberFormat="1" applyFont="1" applyBorder="1" applyAlignment="1">
      <alignment horizontal="center"/>
    </xf>
    <xf numFmtId="0" fontId="1" fillId="0" borderId="15" xfId="66" applyNumberFormat="1" applyFont="1" applyFill="1" applyBorder="1" applyAlignment="1"/>
    <xf numFmtId="0" fontId="13" fillId="0" borderId="16" xfId="66" applyNumberFormat="1" applyFont="1" applyFill="1" applyBorder="1" applyAlignment="1"/>
    <xf numFmtId="0" fontId="17" fillId="0" borderId="15" xfId="66" applyNumberFormat="1" applyFont="1" applyFill="1" applyBorder="1" applyAlignment="1"/>
    <xf numFmtId="0" fontId="13" fillId="0" borderId="17" xfId="66" applyNumberFormat="1" applyFont="1" applyFill="1" applyBorder="1" applyAlignment="1"/>
    <xf numFmtId="0" fontId="15" fillId="0" borderId="15" xfId="66" applyNumberFormat="1" applyFont="1" applyFill="1" applyBorder="1" applyAlignment="1"/>
    <xf numFmtId="0" fontId="13" fillId="0" borderId="15" xfId="66" applyNumberFormat="1" applyFont="1" applyFill="1" applyBorder="1" applyAlignment="1"/>
    <xf numFmtId="0" fontId="16" fillId="0" borderId="15" xfId="66" applyNumberFormat="1" applyFont="1" applyFill="1" applyBorder="1" applyAlignment="1"/>
    <xf numFmtId="0" fontId="0" fillId="5" borderId="0" xfId="98" applyNumberFormat="1" applyFont="1" applyFill="1" applyAlignment="1"/>
    <xf numFmtId="0" fontId="2" fillId="5" borderId="0" xfId="98" applyNumberFormat="1" applyFont="1" applyFill="1" applyAlignment="1"/>
    <xf numFmtId="0" fontId="0" fillId="0" borderId="0" xfId="98" applyNumberFormat="1" applyFont="1" applyAlignment="1"/>
    <xf numFmtId="0" fontId="2" fillId="0" borderId="0" xfId="98" applyNumberFormat="1" applyFont="1" applyAlignment="1"/>
    <xf numFmtId="0" fontId="2" fillId="5" borderId="17" xfId="66" applyNumberFormat="1" applyFont="1" applyFill="1" applyBorder="1" applyAlignment="1"/>
    <xf numFmtId="0" fontId="0" fillId="0" borderId="15" xfId="66" applyNumberFormat="1" applyFont="1" applyBorder="1" applyAlignment="1">
      <alignment horizontal="center"/>
    </xf>
    <xf numFmtId="0" fontId="2" fillId="0" borderId="15" xfId="66" applyNumberFormat="1" applyFont="1" applyFill="1" applyBorder="1" applyAlignment="1">
      <alignment horizontal="center"/>
    </xf>
    <xf numFmtId="0" fontId="18" fillId="0" borderId="15" xfId="66" applyNumberFormat="1" applyFont="1" applyBorder="1" applyAlignment="1">
      <alignment horizontal="center"/>
    </xf>
    <xf numFmtId="0" fontId="2" fillId="5" borderId="15" xfId="66" applyNumberFormat="1" applyFont="1" applyFill="1" applyBorder="1" applyAlignment="1">
      <alignment horizontal="center"/>
    </xf>
    <xf numFmtId="0" fontId="2" fillId="0" borderId="15" xfId="66" applyNumberFormat="1" applyFont="1" applyBorder="1" applyAlignment="1">
      <alignment horizontal="center"/>
    </xf>
    <xf numFmtId="0" fontId="19" fillId="0" borderId="15" xfId="85" applyNumberFormat="1" applyFont="1" applyFill="1" applyBorder="1" applyAlignment="1">
      <alignment horizontal="center"/>
    </xf>
    <xf numFmtId="0" fontId="15" fillId="0" borderId="15" xfId="85" applyNumberFormat="1" applyFont="1" applyFill="1" applyBorder="1" applyAlignment="1">
      <alignment horizontal="center"/>
    </xf>
    <xf numFmtId="0" fontId="18" fillId="2" borderId="15" xfId="85" applyNumberFormat="1" applyFont="1" applyFill="1" applyBorder="1" applyAlignment="1">
      <alignment horizontal="center"/>
    </xf>
    <xf numFmtId="0" fontId="17" fillId="0" borderId="15" xfId="66" applyNumberFormat="1" applyFont="1" applyFill="1" applyBorder="1" applyAlignment="1">
      <alignment horizontal="center"/>
    </xf>
    <xf numFmtId="0" fontId="18" fillId="0" borderId="15" xfId="66" applyNumberFormat="1" applyFont="1" applyFill="1" applyBorder="1" applyAlignment="1"/>
    <xf numFmtId="0" fontId="13" fillId="0" borderId="15" xfId="66" applyNumberFormat="1" applyFont="1" applyFill="1" applyBorder="1" applyAlignment="1">
      <alignment horizontal="right"/>
    </xf>
    <xf numFmtId="0" fontId="2" fillId="5" borderId="15" xfId="66" applyNumberFormat="1" applyFont="1" applyFill="1" applyBorder="1" applyAlignment="1">
      <alignment horizontal="right"/>
    </xf>
    <xf numFmtId="0" fontId="0" fillId="0" borderId="15" xfId="66" applyNumberFormat="1" applyFont="1" applyFill="1" applyBorder="1" applyAlignment="1"/>
    <xf numFmtId="0" fontId="19" fillId="0" borderId="15" xfId="83" applyNumberFormat="1" applyFont="1" applyFill="1" applyBorder="1" applyAlignment="1">
      <alignment horizontal="center"/>
    </xf>
    <xf numFmtId="0" fontId="15" fillId="0" borderId="15" xfId="83" applyNumberFormat="1" applyFont="1" applyFill="1" applyBorder="1" applyAlignment="1">
      <alignment horizontal="center"/>
    </xf>
    <xf numFmtId="0" fontId="0" fillId="2" borderId="15" xfId="83" applyNumberFormat="1" applyFont="1" applyFill="1" applyBorder="1" applyAlignment="1">
      <alignment horizontal="center"/>
    </xf>
    <xf numFmtId="0" fontId="17" fillId="0" borderId="15" xfId="83" applyNumberFormat="1" applyFont="1" applyFill="1" applyBorder="1" applyAlignment="1">
      <alignment horizontal="center"/>
    </xf>
    <xf numFmtId="0" fontId="0" fillId="0" borderId="15" xfId="77" applyNumberFormat="1" applyFont="1" applyFill="1" applyBorder="1" applyAlignment="1"/>
    <xf numFmtId="0" fontId="0" fillId="0" borderId="19" xfId="66" applyNumberFormat="1" applyFont="1" applyFill="1" applyBorder="1" applyAlignment="1"/>
    <xf numFmtId="0" fontId="19" fillId="0" borderId="19" xfId="83" applyNumberFormat="1" applyFont="1" applyFill="1" applyBorder="1" applyAlignment="1">
      <alignment horizontal="center"/>
    </xf>
    <xf numFmtId="0" fontId="15" fillId="0" borderId="19" xfId="83" applyNumberFormat="1" applyFont="1" applyFill="1" applyBorder="1" applyAlignment="1">
      <alignment horizontal="center"/>
    </xf>
    <xf numFmtId="0" fontId="0" fillId="2" borderId="19" xfId="83" applyNumberFormat="1" applyFont="1" applyFill="1" applyBorder="1" applyAlignment="1">
      <alignment horizontal="center"/>
    </xf>
    <xf numFmtId="0" fontId="17" fillId="0" borderId="19" xfId="83" applyNumberFormat="1" applyFont="1" applyFill="1" applyBorder="1" applyAlignment="1">
      <alignment horizontal="center"/>
    </xf>
    <xf numFmtId="0" fontId="0" fillId="0" borderId="15" xfId="66" applyNumberFormat="1" applyFont="1" applyFill="1" applyBorder="1" applyAlignment="1"/>
    <xf numFmtId="0" fontId="20" fillId="0" borderId="15" xfId="77" applyNumberFormat="1" applyFont="1" applyFill="1" applyBorder="1" applyAlignment="1"/>
    <xf numFmtId="0" fontId="0" fillId="0" borderId="20" xfId="77" applyNumberFormat="1" applyFont="1" applyFill="1" applyBorder="1" applyAlignment="1"/>
    <xf numFmtId="0" fontId="19" fillId="0" borderId="20" xfId="83" applyNumberFormat="1" applyFont="1" applyFill="1" applyBorder="1" applyAlignment="1">
      <alignment horizontal="center"/>
    </xf>
    <xf numFmtId="0" fontId="15" fillId="0" borderId="20" xfId="83" applyNumberFormat="1" applyFont="1" applyFill="1" applyBorder="1" applyAlignment="1">
      <alignment horizontal="center"/>
    </xf>
    <xf numFmtId="0" fontId="0" fillId="2" borderId="20" xfId="83" applyNumberFormat="1" applyFont="1" applyFill="1" applyBorder="1" applyAlignment="1">
      <alignment horizontal="center"/>
    </xf>
    <xf numFmtId="0" fontId="17" fillId="0" borderId="20" xfId="83" applyNumberFormat="1" applyFont="1" applyFill="1" applyBorder="1" applyAlignment="1">
      <alignment horizontal="center"/>
    </xf>
    <xf numFmtId="0" fontId="0" fillId="0" borderId="15" xfId="77" applyNumberFormat="1" applyFont="1" applyFill="1" applyBorder="1" applyAlignment="1"/>
    <xf numFmtId="0" fontId="15" fillId="0" borderId="15" xfId="66" applyNumberFormat="1" applyFont="1" applyBorder="1" applyAlignment="1">
      <alignment vertical="top" wrapText="1"/>
    </xf>
    <xf numFmtId="0" fontId="0" fillId="0" borderId="15" xfId="66" applyNumberFormat="1" applyFont="1" applyFill="1" applyBorder="1" applyAlignment="1">
      <alignment wrapText="1"/>
    </xf>
    <xf numFmtId="0" fontId="0" fillId="3" borderId="15" xfId="66" applyNumberFormat="1" applyFont="1" applyFill="1" applyBorder="1" applyAlignment="1">
      <alignment wrapText="1"/>
    </xf>
    <xf numFmtId="0" fontId="21" fillId="0" borderId="15" xfId="85" applyNumberFormat="1" applyFont="1" applyFill="1" applyBorder="1" applyAlignment="1">
      <alignment horizontal="center"/>
    </xf>
    <xf numFmtId="0" fontId="22" fillId="0" borderId="15" xfId="85" applyNumberFormat="1" applyFont="1" applyFill="1" applyBorder="1" applyAlignment="1"/>
    <xf numFmtId="0" fontId="0" fillId="3" borderId="15" xfId="66" applyNumberFormat="1" applyFont="1" applyFill="1" applyBorder="1" applyAlignment="1">
      <alignment horizontal="center"/>
    </xf>
    <xf numFmtId="0" fontId="0" fillId="0" borderId="15" xfId="66" applyNumberFormat="1" applyFont="1" applyFill="1" applyBorder="1" applyAlignment="1">
      <alignment horizontal="center"/>
    </xf>
    <xf numFmtId="0" fontId="1" fillId="0" borderId="15" xfId="66" applyNumberFormat="1" applyFont="1" applyFill="1" applyBorder="1" applyAlignment="1">
      <alignment horizontal="center"/>
    </xf>
    <xf numFmtId="0" fontId="13" fillId="0" borderId="15" xfId="66" applyNumberFormat="1" applyFont="1" applyFill="1" applyBorder="1" applyAlignment="1">
      <alignment horizontal="center"/>
    </xf>
    <xf numFmtId="0" fontId="13" fillId="0" borderId="15" xfId="71" applyNumberFormat="1" applyFont="1" applyFill="1" applyBorder="1" applyAlignment="1">
      <alignment horizontal="center"/>
    </xf>
    <xf numFmtId="0" fontId="1" fillId="0" borderId="15" xfId="83" applyNumberFormat="1" applyFont="1" applyFill="1" applyBorder="1" applyAlignment="1">
      <alignment horizontal="center"/>
    </xf>
    <xf numFmtId="0" fontId="13" fillId="0" borderId="15" xfId="83" applyNumberFormat="1" applyFont="1" applyFill="1" applyBorder="1" applyAlignment="1">
      <alignment horizontal="center"/>
    </xf>
    <xf numFmtId="0" fontId="0" fillId="5" borderId="0" xfId="98" applyNumberFormat="1" applyFont="1" applyFill="1" applyBorder="1" applyAlignment="1"/>
    <xf numFmtId="0" fontId="0" fillId="0" borderId="0" xfId="98" applyNumberFormat="1" applyFont="1" applyBorder="1" applyAlignment="1"/>
    <xf numFmtId="0" fontId="0" fillId="6" borderId="15" xfId="66" applyNumberFormat="1" applyFont="1" applyFill="1" applyBorder="1" applyAlignment="1">
      <alignment wrapText="1"/>
    </xf>
    <xf numFmtId="0" fontId="0" fillId="2" borderId="15" xfId="51" applyNumberFormat="1" applyFont="1" applyFill="1" applyBorder="1" applyAlignment="1" applyProtection="1">
      <alignment horizontal="center" vertical="top" textRotation="90"/>
    </xf>
    <xf numFmtId="0" fontId="0" fillId="6" borderId="15" xfId="66" applyNumberFormat="1" applyFont="1" applyFill="1" applyBorder="1" applyAlignment="1">
      <alignment horizontal="center"/>
    </xf>
    <xf numFmtId="0" fontId="23" fillId="2" borderId="15" xfId="98" applyNumberFormat="1" applyFont="1" applyFill="1" applyBorder="1" applyAlignment="1">
      <alignment horizontal="center"/>
    </xf>
    <xf numFmtId="0" fontId="24" fillId="2" borderId="15" xfId="55" applyNumberFormat="1" applyFill="1" applyBorder="1" applyAlignment="1">
      <alignment horizontal="center"/>
    </xf>
    <xf numFmtId="0" fontId="13" fillId="6" borderId="15" xfId="83" applyNumberFormat="1" applyFont="1" applyFill="1" applyBorder="1" applyAlignment="1">
      <alignment horizontal="center"/>
    </xf>
    <xf numFmtId="0" fontId="0" fillId="0" borderId="15" xfId="98" applyNumberFormat="1" applyFont="1" applyFill="1" applyBorder="1" applyAlignment="1">
      <alignment horizontal="center"/>
    </xf>
    <xf numFmtId="0" fontId="0" fillId="7" borderId="15" xfId="98" applyNumberFormat="1" applyFont="1" applyFill="1" applyBorder="1" applyAlignment="1">
      <alignment horizontal="center"/>
    </xf>
    <xf numFmtId="0" fontId="25" fillId="0" borderId="0" xfId="71" applyNumberFormat="1" applyFont="1" applyFill="1" applyAlignment="1">
      <alignment horizontal="right"/>
    </xf>
    <xf numFmtId="0" fontId="26" fillId="5" borderId="0" xfId="66" applyNumberFormat="1" applyFont="1" applyFill="1" applyAlignment="1">
      <alignment horizontal="right"/>
    </xf>
    <xf numFmtId="0" fontId="2" fillId="3" borderId="0" xfId="66" applyNumberFormat="1" applyFont="1" applyFill="1" applyAlignment="1"/>
    <xf numFmtId="0" fontId="0" fillId="0" borderId="0" xfId="98" applyNumberFormat="1" applyFont="1" applyFill="1" applyAlignment="1"/>
    <xf numFmtId="0" fontId="0" fillId="8" borderId="0" xfId="66" applyNumberFormat="1" applyFont="1" applyFill="1" applyAlignment="1"/>
    <xf numFmtId="0" fontId="0" fillId="2" borderId="15" xfId="51" applyNumberFormat="1" applyFont="1" applyFill="1" applyBorder="1" applyAlignment="1" applyProtection="1">
      <alignment textRotation="90"/>
    </xf>
    <xf numFmtId="0" fontId="0" fillId="2" borderId="16" xfId="51" applyNumberFormat="1" applyFont="1" applyFill="1" applyBorder="1" applyAlignment="1" applyProtection="1">
      <alignment textRotation="90"/>
    </xf>
    <xf numFmtId="0" fontId="27" fillId="2" borderId="16" xfId="51" applyNumberFormat="1" applyFont="1" applyFill="1" applyBorder="1" applyAlignment="1" applyProtection="1"/>
    <xf numFmtId="0" fontId="19" fillId="2" borderId="21" xfId="51" applyNumberFormat="1" applyFont="1" applyFill="1" applyBorder="1" applyAlignment="1" applyProtection="1">
      <alignment horizontal="center" vertical="top" textRotation="90" wrapText="1"/>
    </xf>
    <xf numFmtId="0" fontId="0" fillId="0" borderId="22" xfId="66" applyNumberFormat="1" applyFont="1" applyFill="1" applyBorder="1" applyAlignment="1">
      <alignment horizontal="center" textRotation="90"/>
    </xf>
    <xf numFmtId="0" fontId="24" fillId="2" borderId="15" xfId="55" applyNumberFormat="1" applyFont="1" applyFill="1" applyBorder="1" applyAlignment="1">
      <alignment horizontal="center"/>
    </xf>
    <xf numFmtId="0" fontId="0" fillId="2" borderId="23" xfId="55" applyNumberFormat="1" applyFont="1" applyFill="1" applyBorder="1" applyAlignment="1">
      <alignment horizontal="center"/>
    </xf>
    <xf numFmtId="0" fontId="0" fillId="2" borderId="24" xfId="51" applyNumberFormat="1" applyFont="1" applyFill="1" applyBorder="1" applyAlignment="1">
      <alignment horizontal="center"/>
    </xf>
    <xf numFmtId="0" fontId="28" fillId="2" borderId="21" xfId="98" applyNumberFormat="1" applyFont="1" applyFill="1" applyBorder="1" applyAlignment="1">
      <alignment horizontal="center"/>
    </xf>
    <xf numFmtId="0" fontId="29" fillId="2" borderId="15" xfId="98" applyNumberFormat="1" applyFont="1" applyFill="1" applyBorder="1" applyAlignment="1">
      <alignment horizontal="center"/>
    </xf>
    <xf numFmtId="0" fontId="0" fillId="2" borderId="25" xfId="98" applyNumberFormat="1" applyFont="1" applyFill="1" applyBorder="1" applyAlignment="1">
      <alignment horizontal="center"/>
    </xf>
    <xf numFmtId="0" fontId="2" fillId="2" borderId="26" xfId="98" applyNumberFormat="1" applyFont="1" applyFill="1" applyBorder="1" applyAlignment="1">
      <alignment horizontal="center"/>
    </xf>
    <xf numFmtId="0" fontId="24" fillId="2" borderId="21" xfId="55" applyNumberFormat="1" applyFill="1" applyBorder="1" applyAlignment="1">
      <alignment horizontal="center"/>
    </xf>
    <xf numFmtId="0" fontId="30" fillId="0" borderId="15" xfId="66" applyNumberFormat="1" applyFont="1" applyFill="1" applyBorder="1" applyAlignment="1">
      <alignment horizontal="center"/>
    </xf>
    <xf numFmtId="0" fontId="30" fillId="0" borderId="16" xfId="66" applyNumberFormat="1" applyFont="1" applyFill="1" applyBorder="1" applyAlignment="1">
      <alignment horizontal="center"/>
    </xf>
    <xf numFmtId="0" fontId="0" fillId="0" borderId="16" xfId="66" applyNumberFormat="1" applyFont="1" applyFill="1" applyBorder="1" applyAlignment="1">
      <alignment horizontal="center"/>
    </xf>
    <xf numFmtId="0" fontId="19" fillId="0" borderId="21" xfId="66" applyNumberFormat="1" applyFont="1" applyFill="1" applyBorder="1" applyAlignment="1">
      <alignment horizontal="center"/>
    </xf>
    <xf numFmtId="0" fontId="0" fillId="0" borderId="0" xfId="66" applyNumberFormat="1" applyFont="1" applyFill="1" applyBorder="1" applyAlignment="1">
      <alignment horizontal="center"/>
    </xf>
    <xf numFmtId="0" fontId="2" fillId="0" borderId="0" xfId="66" applyNumberFormat="1" applyFont="1" applyFill="1" applyAlignment="1"/>
    <xf numFmtId="0" fontId="4" fillId="9" borderId="0" xfId="66" applyNumberFormat="1" applyFont="1" applyFill="1" applyAlignment="1">
      <alignment horizontal="center"/>
    </xf>
    <xf numFmtId="0" fontId="0" fillId="10" borderId="0" xfId="66" applyNumberFormat="1" applyFont="1" applyFill="1" applyAlignment="1"/>
    <xf numFmtId="0" fontId="0" fillId="0" borderId="0" xfId="66" applyNumberFormat="1" applyFont="1" applyFill="1" applyBorder="1" applyAlignment="1">
      <alignment horizontal="center" textRotation="90"/>
    </xf>
    <xf numFmtId="0" fontId="0" fillId="0" borderId="0" xfId="66" applyNumberFormat="1" applyFont="1" applyFill="1" applyAlignment="1">
      <alignment horizontal="center" textRotation="90"/>
    </xf>
    <xf numFmtId="0" fontId="24" fillId="0" borderId="0" xfId="55" applyNumberFormat="1" applyFill="1" applyAlignment="1">
      <alignment horizontal="right"/>
    </xf>
    <xf numFmtId="0" fontId="0" fillId="0" borderId="0" xfId="66" applyNumberFormat="1" applyFont="1" applyFill="1" applyBorder="1" applyAlignment="1"/>
    <xf numFmtId="0" fontId="31" fillId="0" borderId="0" xfId="66" applyNumberFormat="1" applyFont="1" applyFill="1" applyAlignment="1"/>
    <xf numFmtId="0" fontId="30" fillId="0" borderId="0" xfId="66" applyNumberFormat="1" applyFont="1" applyFill="1" applyAlignment="1"/>
    <xf numFmtId="0" fontId="1" fillId="5" borderId="0" xfId="66" applyNumberFormat="1" applyFont="1" applyFill="1" applyAlignment="1"/>
    <xf numFmtId="0" fontId="2" fillId="5" borderId="0" xfId="66" applyNumberFormat="1" applyFont="1" applyFill="1" applyAlignment="1"/>
    <xf numFmtId="0" fontId="17" fillId="5" borderId="0" xfId="66" applyNumberFormat="1" applyFont="1" applyFill="1" applyAlignment="1"/>
    <xf numFmtId="0" fontId="15" fillId="5" borderId="0" xfId="66" applyNumberFormat="1" applyFont="1" applyFill="1" applyAlignment="1"/>
    <xf numFmtId="0" fontId="19" fillId="5" borderId="0" xfId="66" applyNumberFormat="1" applyFont="1" applyFill="1" applyAlignment="1"/>
    <xf numFmtId="0" fontId="10" fillId="0" borderId="15" xfId="77" applyNumberFormat="1" applyFont="1" applyFill="1" applyBorder="1" applyAlignment="1"/>
    <xf numFmtId="0" fontId="0" fillId="0" borderId="15" xfId="77" applyNumberFormat="1" applyFont="1" applyBorder="1"/>
    <xf numFmtId="0" fontId="18" fillId="5" borderId="0" xfId="66" applyNumberFormat="1" applyFont="1" applyFill="1" applyAlignment="1"/>
    <xf numFmtId="0" fontId="0" fillId="5" borderId="0" xfId="66" applyNumberFormat="1" applyFont="1" applyFill="1" applyAlignment="1">
      <alignment horizontal="right"/>
    </xf>
    <xf numFmtId="0" fontId="25" fillId="5" borderId="0" xfId="66" applyNumberFormat="1" applyFont="1" applyFill="1" applyAlignment="1"/>
    <xf numFmtId="0" fontId="11" fillId="5" borderId="0" xfId="66" applyNumberFormat="1" applyFont="1" applyFill="1" applyAlignment="1"/>
    <xf numFmtId="0" fontId="32" fillId="5" borderId="0" xfId="66" applyNumberFormat="1" applyFont="1" applyFill="1" applyAlignment="1"/>
    <xf numFmtId="0" fontId="33" fillId="5" borderId="0" xfId="66" applyNumberFormat="1" applyFont="1" applyFill="1" applyAlignment="1"/>
    <xf numFmtId="0" fontId="2" fillId="5" borderId="0" xfId="66" applyNumberFormat="1" applyFont="1" applyFill="1" applyAlignment="1">
      <alignment horizontal="center"/>
    </xf>
    <xf numFmtId="0" fontId="21" fillId="5" borderId="0" xfId="66" applyNumberFormat="1" applyFont="1" applyFill="1" applyAlignment="1"/>
    <xf numFmtId="0" fontId="0" fillId="0" borderId="15" xfId="98" applyNumberFormat="1" applyFont="1" applyFill="1" applyBorder="1" applyAlignment="1">
      <alignment horizontal="center"/>
    </xf>
    <xf numFmtId="0" fontId="0" fillId="5" borderId="0" xfId="66" applyNumberFormat="1" applyFont="1" applyFill="1" applyBorder="1" applyAlignment="1">
      <alignment horizontal="center"/>
    </xf>
    <xf numFmtId="0" fontId="25" fillId="5" borderId="27" xfId="66" applyNumberFormat="1" applyFont="1" applyFill="1" applyBorder="1" applyAlignment="1">
      <alignment horizontal="center"/>
    </xf>
    <xf numFmtId="0" fontId="25" fillId="5" borderId="0" xfId="66" applyNumberFormat="1" applyFont="1" applyFill="1" applyBorder="1" applyAlignment="1">
      <alignment horizontal="center"/>
    </xf>
    <xf numFmtId="0" fontId="2" fillId="0" borderId="0" xfId="66" applyNumberFormat="1" applyFont="1" applyFill="1" applyAlignment="1">
      <alignment horizontal="center"/>
    </xf>
    <xf numFmtId="0" fontId="20" fillId="0" borderId="0" xfId="0" applyNumberFormat="1" applyFont="1" applyFill="1"/>
    <xf numFmtId="0" fontId="20" fillId="0" borderId="0" xfId="0" applyNumberFormat="1" applyFont="1"/>
    <xf numFmtId="0" fontId="20" fillId="0" borderId="0" xfId="61" applyNumberFormat="1" applyFont="1" applyAlignment="1">
      <alignment vertical="top"/>
    </xf>
    <xf numFmtId="0" fontId="9" fillId="0" borderId="0" xfId="61" applyNumberFormat="1" applyFont="1" applyAlignment="1"/>
    <xf numFmtId="0" fontId="20" fillId="0" borderId="0" xfId="61" applyNumberFormat="1" applyFont="1" applyAlignment="1"/>
    <xf numFmtId="0" fontId="9" fillId="5" borderId="28" xfId="61" applyNumberFormat="1" applyFont="1" applyFill="1" applyBorder="1" applyAlignment="1"/>
    <xf numFmtId="0" fontId="9" fillId="5" borderId="29" xfId="61" applyNumberFormat="1" applyFont="1" applyFill="1" applyBorder="1" applyAlignment="1"/>
    <xf numFmtId="0" fontId="9" fillId="9" borderId="0" xfId="61" applyNumberFormat="1" applyFont="1" applyFill="1" applyAlignment="1"/>
    <xf numFmtId="0" fontId="9" fillId="9" borderId="0" xfId="61" applyNumberFormat="1" applyFont="1" applyFill="1" applyBorder="1" applyAlignment="1"/>
    <xf numFmtId="0" fontId="20" fillId="9" borderId="0" xfId="61" applyNumberFormat="1" applyFont="1" applyFill="1" applyBorder="1" applyAlignment="1"/>
    <xf numFmtId="0" fontId="20" fillId="0" borderId="0" xfId="61" applyNumberFormat="1" applyFont="1" applyFill="1" applyBorder="1" applyAlignment="1"/>
    <xf numFmtId="0" fontId="20" fillId="0" borderId="30" xfId="6" applyNumberFormat="1" applyFont="1" applyFill="1" applyBorder="1" applyAlignment="1"/>
    <xf numFmtId="0" fontId="9" fillId="11" borderId="31" xfId="61" applyNumberFormat="1" applyFont="1" applyFill="1" applyBorder="1" applyAlignment="1"/>
    <xf numFmtId="0" fontId="20" fillId="0" borderId="32" xfId="61" applyNumberFormat="1" applyFont="1" applyFill="1" applyBorder="1" applyAlignment="1"/>
    <xf numFmtId="0" fontId="9" fillId="11" borderId="33" xfId="61" applyNumberFormat="1" applyFont="1" applyFill="1" applyBorder="1" applyAlignment="1"/>
    <xf numFmtId="0" fontId="20" fillId="0" borderId="30" xfId="61" applyNumberFormat="1" applyFont="1" applyFill="1" applyBorder="1" applyAlignment="1"/>
    <xf numFmtId="0" fontId="9" fillId="0" borderId="30" xfId="6" applyNumberFormat="1" applyFont="1" applyFill="1" applyBorder="1" applyAlignment="1"/>
    <xf numFmtId="0" fontId="20" fillId="0" borderId="34" xfId="6" applyNumberFormat="1" applyFont="1" applyFill="1" applyBorder="1" applyAlignment="1"/>
    <xf numFmtId="0" fontId="9" fillId="0" borderId="35" xfId="61" applyNumberFormat="1" applyFont="1" applyFill="1" applyBorder="1" applyAlignment="1"/>
    <xf numFmtId="0" fontId="20" fillId="0" borderId="36" xfId="61" applyNumberFormat="1" applyFont="1" applyFill="1" applyBorder="1" applyAlignment="1"/>
    <xf numFmtId="0" fontId="9" fillId="0" borderId="0" xfId="61" applyNumberFormat="1" applyFont="1" applyFill="1" applyBorder="1" applyAlignment="1"/>
    <xf numFmtId="0" fontId="20" fillId="0" borderId="34" xfId="61" applyNumberFormat="1" applyFont="1" applyFill="1" applyBorder="1" applyAlignment="1"/>
    <xf numFmtId="0" fontId="9" fillId="0" borderId="34" xfId="0" applyNumberFormat="1" applyFont="1" applyFill="1" applyBorder="1" applyAlignment="1"/>
    <xf numFmtId="0" fontId="34" fillId="0" borderId="34" xfId="6" applyNumberFormat="1" applyFont="1" applyFill="1" applyBorder="1" applyAlignment="1"/>
    <xf numFmtId="0" fontId="9" fillId="0" borderId="37" xfId="61" applyNumberFormat="1" applyFont="1" applyFill="1" applyBorder="1" applyAlignment="1"/>
    <xf numFmtId="0" fontId="20" fillId="0" borderId="38" xfId="6" applyNumberFormat="1" applyFont="1" applyFill="1" applyBorder="1" applyAlignment="1"/>
    <xf numFmtId="0" fontId="9" fillId="0" borderId="13" xfId="61" applyNumberFormat="1" applyFont="1" applyFill="1" applyBorder="1" applyAlignment="1"/>
    <xf numFmtId="0" fontId="20" fillId="0" borderId="39" xfId="61" applyNumberFormat="1" applyFont="1" applyFill="1" applyBorder="1" applyAlignment="1"/>
    <xf numFmtId="0" fontId="20" fillId="0" borderId="38" xfId="61" applyNumberFormat="1" applyFont="1" applyFill="1" applyBorder="1" applyAlignment="1"/>
    <xf numFmtId="0" fontId="34" fillId="0" borderId="38" xfId="6" applyNumberFormat="1" applyFont="1" applyFill="1" applyBorder="1" applyAlignment="1"/>
    <xf numFmtId="0" fontId="9" fillId="0" borderId="40" xfId="61" applyNumberFormat="1" applyFont="1" applyFill="1" applyBorder="1" applyAlignment="1"/>
    <xf numFmtId="0" fontId="0" fillId="0" borderId="34" xfId="73" applyNumberFormat="1" applyFont="1" applyFill="1" applyBorder="1" applyAlignment="1"/>
    <xf numFmtId="0" fontId="2" fillId="11" borderId="41" xfId="73" applyNumberFormat="1" applyFont="1" applyFill="1" applyBorder="1" applyAlignment="1"/>
    <xf numFmtId="0" fontId="35" fillId="2" borderId="30" xfId="6" applyNumberFormat="1" applyFont="1" applyFill="1" applyBorder="1" applyAlignment="1"/>
    <xf numFmtId="0" fontId="9" fillId="0" borderId="34" xfId="6" applyNumberFormat="1" applyFont="1" applyFill="1" applyBorder="1" applyAlignment="1"/>
    <xf numFmtId="0" fontId="0" fillId="0" borderId="36" xfId="73" applyNumberFormat="1" applyFont="1" applyFill="1" applyBorder="1" applyAlignment="1"/>
    <xf numFmtId="0" fontId="2" fillId="11" borderId="42" xfId="73" applyNumberFormat="1" applyFont="1" applyFill="1" applyBorder="1" applyAlignment="1"/>
    <xf numFmtId="0" fontId="2" fillId="0" borderId="0" xfId="73" applyNumberFormat="1" applyFont="1" applyFill="1" applyBorder="1" applyAlignment="1"/>
    <xf numFmtId="0" fontId="36" fillId="2" borderId="34" xfId="0" applyNumberFormat="1" applyFont="1" applyFill="1" applyBorder="1" applyAlignment="1"/>
    <xf numFmtId="0" fontId="2" fillId="2" borderId="0" xfId="73" applyNumberFormat="1" applyFont="1" applyFill="1" applyBorder="1" applyAlignment="1"/>
    <xf numFmtId="0" fontId="0" fillId="0" borderId="43" xfId="73" applyNumberFormat="1" applyFont="1" applyFill="1" applyBorder="1" applyAlignment="1"/>
    <xf numFmtId="0" fontId="0" fillId="0" borderId="44" xfId="73" applyNumberFormat="1" applyFont="1" applyFill="1" applyBorder="1" applyAlignment="1"/>
    <xf numFmtId="0" fontId="35" fillId="2" borderId="43" xfId="6" applyNumberFormat="1" applyFont="1" applyFill="1" applyBorder="1" applyAlignment="1"/>
    <xf numFmtId="0" fontId="0" fillId="2" borderId="44" xfId="73" applyNumberFormat="1" applyFont="1" applyFill="1" applyBorder="1" applyAlignment="1"/>
    <xf numFmtId="0" fontId="0" fillId="0" borderId="45" xfId="73" applyNumberFormat="1" applyFont="1" applyFill="1" applyBorder="1" applyAlignment="1"/>
    <xf numFmtId="0" fontId="0" fillId="0" borderId="46" xfId="73" applyNumberFormat="1" applyFont="1" applyFill="1" applyBorder="1" applyAlignment="1"/>
    <xf numFmtId="0" fontId="2" fillId="11" borderId="47" xfId="73" applyNumberFormat="1" applyFont="1" applyFill="1" applyBorder="1" applyAlignment="1"/>
    <xf numFmtId="0" fontId="20" fillId="0" borderId="46" xfId="73" applyNumberFormat="1" applyFont="1" applyFill="1" applyBorder="1" applyAlignment="1"/>
    <xf numFmtId="0" fontId="8" fillId="0" borderId="48" xfId="6" applyNumberFormat="1" applyFont="1" applyFill="1" applyBorder="1" applyAlignment="1"/>
    <xf numFmtId="0" fontId="2" fillId="11" borderId="49" xfId="73" applyNumberFormat="1" applyFont="1" applyFill="1" applyBorder="1" applyAlignment="1"/>
    <xf numFmtId="0" fontId="20" fillId="0" borderId="34" xfId="73" applyNumberFormat="1" applyFont="1" applyFill="1" applyBorder="1" applyAlignment="1"/>
    <xf numFmtId="0" fontId="0" fillId="0" borderId="0" xfId="73" applyNumberFormat="1" applyFont="1" applyFill="1" applyBorder="1" applyAlignment="1"/>
    <xf numFmtId="0" fontId="0" fillId="2" borderId="0" xfId="73" applyNumberFormat="1" applyFont="1" applyFill="1" applyBorder="1" applyAlignment="1"/>
    <xf numFmtId="0" fontId="0" fillId="2" borderId="36" xfId="73" applyNumberFormat="1" applyFont="1" applyFill="1" applyBorder="1" applyAlignment="1"/>
    <xf numFmtId="0" fontId="0" fillId="0" borderId="38" xfId="73" applyNumberFormat="1" applyFont="1" applyFill="1" applyBorder="1" applyAlignment="1"/>
    <xf numFmtId="0" fontId="0" fillId="0" borderId="13" xfId="73" applyNumberFormat="1" applyFont="1" applyFill="1" applyBorder="1" applyAlignment="1"/>
    <xf numFmtId="0" fontId="0" fillId="2" borderId="39" xfId="73" applyNumberFormat="1" applyFont="1" applyFill="1" applyBorder="1" applyAlignment="1"/>
    <xf numFmtId="0" fontId="0" fillId="2" borderId="13" xfId="73" applyNumberFormat="1" applyFont="1" applyFill="1" applyBorder="1" applyAlignment="1"/>
    <xf numFmtId="0" fontId="20" fillId="0" borderId="38" xfId="73" applyNumberFormat="1" applyFont="1" applyFill="1" applyBorder="1" applyAlignment="1"/>
    <xf numFmtId="0" fontId="0" fillId="0" borderId="39" xfId="73" applyNumberFormat="1" applyFont="1" applyFill="1" applyBorder="1" applyAlignment="1"/>
    <xf numFmtId="0" fontId="9" fillId="11" borderId="41" xfId="61" applyNumberFormat="1" applyFont="1" applyFill="1" applyBorder="1" applyAlignment="1"/>
    <xf numFmtId="0" fontId="9" fillId="11" borderId="42" xfId="61" applyNumberFormat="1" applyFont="1" applyFill="1" applyBorder="1" applyAlignment="1"/>
    <xf numFmtId="0" fontId="20" fillId="0" borderId="43" xfId="61" applyNumberFormat="1" applyFont="1" applyFill="1" applyBorder="1" applyAlignment="1"/>
    <xf numFmtId="0" fontId="9" fillId="0" borderId="44" xfId="61" applyNumberFormat="1" applyFont="1" applyFill="1" applyBorder="1" applyAlignment="1"/>
    <xf numFmtId="0" fontId="20" fillId="0" borderId="45" xfId="61" applyNumberFormat="1" applyFont="1" applyFill="1" applyBorder="1" applyAlignment="1"/>
    <xf numFmtId="0" fontId="20" fillId="0" borderId="46" xfId="61" applyNumberFormat="1" applyFont="1" applyFill="1" applyBorder="1" applyAlignment="1"/>
    <xf numFmtId="0" fontId="9" fillId="11" borderId="47" xfId="61" applyNumberFormat="1" applyFont="1" applyFill="1" applyBorder="1" applyAlignment="1"/>
    <xf numFmtId="0" fontId="20" fillId="0" borderId="48" xfId="61" applyNumberFormat="1" applyFont="1" applyFill="1" applyBorder="1" applyAlignment="1"/>
    <xf numFmtId="0" fontId="9" fillId="11" borderId="49" xfId="61" applyNumberFormat="1" applyFont="1" applyFill="1" applyBorder="1" applyAlignment="1"/>
    <xf numFmtId="0" fontId="20" fillId="0" borderId="50" xfId="61" applyNumberFormat="1" applyFont="1" applyFill="1" applyBorder="1" applyAlignment="1"/>
    <xf numFmtId="0" fontId="20" fillId="0" borderId="36" xfId="0" applyNumberFormat="1" applyFont="1" applyBorder="1"/>
    <xf numFmtId="0" fontId="20" fillId="0" borderId="37" xfId="0" applyNumberFormat="1" applyFont="1" applyBorder="1"/>
    <xf numFmtId="0" fontId="20" fillId="0" borderId="38" xfId="0" applyNumberFormat="1" applyFont="1" applyBorder="1"/>
    <xf numFmtId="0" fontId="20" fillId="0" borderId="13" xfId="0" applyNumberFormat="1" applyFont="1" applyBorder="1"/>
    <xf numFmtId="0" fontId="20" fillId="0" borderId="39" xfId="0" applyNumberFormat="1" applyFont="1" applyBorder="1"/>
    <xf numFmtId="0" fontId="20" fillId="0" borderId="40" xfId="0" applyNumberFormat="1" applyFont="1" applyBorder="1"/>
    <xf numFmtId="0" fontId="20" fillId="0" borderId="13" xfId="61" applyNumberFormat="1" applyFont="1" applyFill="1" applyBorder="1" applyAlignment="1"/>
    <xf numFmtId="0" fontId="20" fillId="0" borderId="45" xfId="0" applyNumberFormat="1" applyFont="1" applyFill="1" applyBorder="1"/>
    <xf numFmtId="0" fontId="20" fillId="0" borderId="51" xfId="0" applyNumberFormat="1" applyFont="1" applyFill="1" applyBorder="1"/>
    <xf numFmtId="0" fontId="20" fillId="0" borderId="44" xfId="0" applyNumberFormat="1" applyFont="1" applyBorder="1"/>
    <xf numFmtId="0" fontId="20" fillId="0" borderId="44" xfId="61" applyNumberFormat="1" applyFont="1" applyFill="1" applyBorder="1" applyAlignment="1"/>
    <xf numFmtId="0" fontId="37" fillId="2" borderId="30" xfId="6" applyNumberFormat="1" applyFont="1" applyFill="1" applyBorder="1" applyAlignment="1"/>
    <xf numFmtId="0" fontId="38" fillId="0" borderId="48" xfId="6" applyNumberFormat="1" applyFont="1" applyFill="1" applyBorder="1" applyAlignment="1"/>
    <xf numFmtId="0" fontId="39" fillId="2" borderId="34" xfId="0" applyNumberFormat="1" applyFont="1" applyFill="1" applyBorder="1" applyAlignment="1"/>
    <xf numFmtId="0" fontId="9" fillId="2" borderId="0" xfId="61" applyNumberFormat="1" applyFont="1" applyFill="1" applyBorder="1" applyAlignment="1"/>
    <xf numFmtId="0" fontId="20" fillId="0" borderId="36" xfId="61" applyNumberFormat="1" applyFont="1" applyFill="1" applyBorder="1" applyAlignment="1">
      <alignment vertical="top"/>
    </xf>
    <xf numFmtId="0" fontId="9" fillId="0" borderId="51" xfId="61" applyNumberFormat="1" applyFont="1" applyFill="1" applyBorder="1" applyAlignment="1"/>
    <xf numFmtId="0" fontId="37" fillId="2" borderId="43" xfId="6" applyNumberFormat="1" applyFont="1" applyFill="1" applyBorder="1" applyAlignment="1"/>
    <xf numFmtId="0" fontId="9" fillId="2" borderId="44" xfId="61" applyNumberFormat="1" applyFont="1" applyFill="1" applyBorder="1" applyAlignment="1"/>
    <xf numFmtId="0" fontId="20" fillId="0" borderId="45" xfId="61" applyNumberFormat="1" applyFont="1" applyFill="1" applyBorder="1" applyAlignment="1">
      <alignment vertical="top"/>
    </xf>
    <xf numFmtId="0" fontId="20" fillId="0" borderId="44" xfId="61" applyNumberFormat="1" applyFont="1" applyFill="1" applyBorder="1" applyAlignment="1">
      <alignment horizontal="right" vertical="top"/>
    </xf>
    <xf numFmtId="0" fontId="20" fillId="0" borderId="37" xfId="61" applyNumberFormat="1" applyFont="1" applyFill="1" applyBorder="1" applyAlignment="1"/>
    <xf numFmtId="0" fontId="20" fillId="2" borderId="0" xfId="61" applyNumberFormat="1" applyFont="1" applyFill="1" applyBorder="1" applyAlignment="1"/>
    <xf numFmtId="0" fontId="37" fillId="2" borderId="34" xfId="6" applyNumberFormat="1" applyFont="1" applyFill="1" applyBorder="1" applyAlignment="1"/>
    <xf numFmtId="0" fontId="20" fillId="0" borderId="52" xfId="61" applyNumberFormat="1" applyFont="1" applyFill="1" applyBorder="1" applyAlignment="1"/>
    <xf numFmtId="0" fontId="9" fillId="0" borderId="53" xfId="61" applyNumberFormat="1" applyFont="1" applyFill="1" applyBorder="1" applyAlignment="1"/>
    <xf numFmtId="0" fontId="20" fillId="0" borderId="53" xfId="61" applyNumberFormat="1" applyFont="1" applyFill="1" applyBorder="1" applyAlignment="1"/>
    <xf numFmtId="0" fontId="38" fillId="0" borderId="54" xfId="6" applyNumberFormat="1" applyFont="1" applyFill="1" applyBorder="1" applyAlignment="1"/>
    <xf numFmtId="0" fontId="20" fillId="0" borderId="55" xfId="61" applyNumberFormat="1" applyFont="1" applyFill="1" applyBorder="1" applyAlignment="1"/>
    <xf numFmtId="0" fontId="20" fillId="0" borderId="55" xfId="61" applyNumberFormat="1" applyFont="1" applyFill="1" applyBorder="1" applyAlignment="1">
      <alignment vertical="top"/>
    </xf>
    <xf numFmtId="0" fontId="40" fillId="0" borderId="55" xfId="61" applyNumberFormat="1" applyFont="1" applyFill="1" applyBorder="1" applyAlignment="1"/>
    <xf numFmtId="0" fontId="38" fillId="0" borderId="36" xfId="6" applyNumberFormat="1" applyFont="1" applyFill="1" applyBorder="1" applyAlignment="1"/>
    <xf numFmtId="0" fontId="20" fillId="0" borderId="0" xfId="61" applyNumberFormat="1" applyFont="1" applyFill="1" applyBorder="1" applyAlignment="1">
      <alignment vertical="top"/>
    </xf>
    <xf numFmtId="0" fontId="40" fillId="0" borderId="0" xfId="61" applyNumberFormat="1" applyFont="1" applyFill="1" applyBorder="1" applyAlignment="1"/>
    <xf numFmtId="0" fontId="20" fillId="0" borderId="51" xfId="61" applyNumberFormat="1" applyFont="1" applyFill="1" applyBorder="1" applyAlignment="1"/>
    <xf numFmtId="0" fontId="20" fillId="2" borderId="44" xfId="61" applyNumberFormat="1" applyFont="1" applyFill="1" applyBorder="1" applyAlignment="1"/>
    <xf numFmtId="0" fontId="38" fillId="0" borderId="56" xfId="6" applyNumberFormat="1" applyFont="1" applyFill="1" applyBorder="1" applyAlignment="1"/>
    <xf numFmtId="0" fontId="20" fillId="0" borderId="57" xfId="61" applyNumberFormat="1" applyFont="1" applyFill="1" applyBorder="1" applyAlignment="1"/>
    <xf numFmtId="0" fontId="20" fillId="0" borderId="57" xfId="61" applyNumberFormat="1" applyFont="1" applyFill="1" applyBorder="1" applyAlignment="1">
      <alignment vertical="top"/>
    </xf>
    <xf numFmtId="0" fontId="9" fillId="12" borderId="49" xfId="61" applyNumberFormat="1" applyFont="1" applyFill="1" applyBorder="1" applyAlignment="1"/>
    <xf numFmtId="0" fontId="20" fillId="0" borderId="0" xfId="0" applyNumberFormat="1" applyFont="1" applyBorder="1"/>
    <xf numFmtId="0" fontId="9" fillId="11" borderId="58" xfId="61" applyNumberFormat="1" applyFont="1" applyFill="1" applyBorder="1" applyAlignment="1"/>
    <xf numFmtId="0" fontId="0" fillId="0" borderId="48" xfId="73" applyNumberFormat="1" applyFont="1" applyFill="1" applyBorder="1" applyAlignment="1"/>
    <xf numFmtId="0" fontId="9" fillId="11" borderId="59" xfId="61" applyNumberFormat="1" applyFont="1" applyFill="1" applyBorder="1" applyAlignment="1"/>
    <xf numFmtId="0" fontId="20" fillId="2" borderId="37" xfId="61" applyNumberFormat="1" applyFont="1" applyFill="1" applyBorder="1" applyAlignment="1"/>
    <xf numFmtId="0" fontId="20" fillId="2" borderId="51" xfId="61" applyNumberFormat="1" applyFont="1" applyFill="1" applyBorder="1" applyAlignment="1"/>
    <xf numFmtId="0" fontId="20" fillId="0" borderId="48" xfId="73" applyNumberFormat="1" applyFont="1" applyFill="1" applyBorder="1" applyAlignment="1"/>
    <xf numFmtId="0" fontId="20" fillId="0" borderId="36" xfId="73" applyNumberFormat="1" applyFont="1" applyFill="1" applyBorder="1" applyAlignment="1"/>
    <xf numFmtId="0" fontId="0" fillId="0" borderId="60" xfId="73" applyNumberFormat="1" applyFont="1" applyFill="1" applyBorder="1" applyAlignment="1"/>
    <xf numFmtId="0" fontId="9" fillId="0" borderId="61" xfId="61" applyNumberFormat="1" applyFont="1" applyFill="1" applyBorder="1" applyAlignment="1"/>
    <xf numFmtId="0" fontId="20" fillId="0" borderId="45" xfId="73" applyNumberFormat="1" applyFont="1" applyFill="1" applyBorder="1" applyAlignment="1"/>
    <xf numFmtId="0" fontId="0" fillId="0" borderId="56" xfId="73" applyNumberFormat="1" applyFont="1" applyFill="1" applyBorder="1" applyAlignment="1"/>
    <xf numFmtId="0" fontId="9" fillId="0" borderId="57" xfId="61" applyNumberFormat="1" applyFont="1" applyFill="1" applyBorder="1" applyAlignment="1"/>
    <xf numFmtId="0" fontId="9" fillId="11" borderId="62" xfId="61" applyNumberFormat="1" applyFont="1" applyFill="1" applyBorder="1" applyAlignment="1"/>
    <xf numFmtId="0" fontId="20" fillId="0" borderId="36" xfId="0" applyNumberFormat="1" applyFont="1" applyFill="1" applyBorder="1" applyAlignment="1"/>
    <xf numFmtId="0" fontId="20" fillId="0" borderId="63" xfId="61" applyNumberFormat="1" applyFont="1" applyFill="1" applyBorder="1" applyAlignment="1"/>
    <xf numFmtId="0" fontId="38" fillId="0" borderId="36" xfId="49" applyNumberFormat="1" applyFont="1" applyFill="1" applyBorder="1" applyAlignment="1"/>
    <xf numFmtId="0" fontId="20" fillId="2" borderId="63" xfId="61" applyNumberFormat="1" applyFont="1" applyFill="1" applyBorder="1" applyAlignment="1"/>
    <xf numFmtId="0" fontId="9" fillId="2" borderId="51" xfId="61" applyNumberFormat="1" applyFont="1" applyFill="1" applyBorder="1" applyAlignment="1"/>
    <xf numFmtId="0" fontId="0" fillId="0" borderId="64" xfId="73" applyNumberFormat="1" applyFont="1" applyFill="1" applyBorder="1" applyAlignment="1"/>
    <xf numFmtId="0" fontId="20" fillId="0" borderId="64" xfId="61" applyNumberFormat="1" applyFont="1" applyFill="1" applyBorder="1" applyAlignment="1">
      <alignment vertical="top"/>
    </xf>
    <xf numFmtId="0" fontId="20" fillId="0" borderId="0" xfId="61" applyNumberFormat="1" applyFont="1" applyBorder="1" applyAlignment="1">
      <alignment vertical="top"/>
    </xf>
    <xf numFmtId="0" fontId="20" fillId="0" borderId="64" xfId="61" applyNumberFormat="1" applyFont="1" applyFill="1" applyBorder="1" applyAlignment="1">
      <alignment vertical="top"/>
    </xf>
    <xf numFmtId="0" fontId="20" fillId="0" borderId="0" xfId="61" applyNumberFormat="1" applyFont="1" applyBorder="1" applyAlignment="1">
      <alignment vertical="top"/>
    </xf>
    <xf numFmtId="0" fontId="9" fillId="13" borderId="0" xfId="61" applyNumberFormat="1" applyFont="1" applyFill="1" applyBorder="1" applyAlignment="1"/>
    <xf numFmtId="0" fontId="20" fillId="13" borderId="0" xfId="61" applyNumberFormat="1" applyFont="1" applyFill="1" applyBorder="1" applyAlignment="1"/>
    <xf numFmtId="0" fontId="0" fillId="0" borderId="65" xfId="73" applyNumberFormat="1" applyFont="1" applyFill="1" applyBorder="1" applyAlignment="1"/>
    <xf numFmtId="0" fontId="38" fillId="0" borderId="0" xfId="6" applyNumberFormat="1" applyFont="1" applyFill="1" applyAlignment="1">
      <alignment vertical="top"/>
    </xf>
    <xf numFmtId="0" fontId="20" fillId="0" borderId="0" xfId="61" applyNumberFormat="1" applyFont="1" applyFill="1" applyAlignment="1">
      <alignment vertical="top"/>
    </xf>
    <xf numFmtId="0" fontId="20" fillId="0" borderId="0" xfId="87" applyNumberFormat="1" applyFont="1" applyFill="1" applyAlignment="1">
      <alignment horizontal="right"/>
    </xf>
    <xf numFmtId="0" fontId="20" fillId="0" borderId="0" xfId="61" applyNumberFormat="1" applyFont="1" applyFill="1" applyAlignment="1"/>
    <xf numFmtId="0" fontId="20" fillId="0" borderId="0" xfId="61" applyNumberFormat="1" applyFont="1" applyAlignment="1">
      <alignment horizontal="right" vertical="top"/>
    </xf>
    <xf numFmtId="0" fontId="9" fillId="5" borderId="66" xfId="61" applyNumberFormat="1" applyFont="1" applyFill="1" applyBorder="1" applyAlignment="1"/>
    <xf numFmtId="0" fontId="9" fillId="0" borderId="0" xfId="61" applyNumberFormat="1" applyFont="1" applyFill="1" applyBorder="1" applyAlignment="1">
      <alignment vertical="top"/>
    </xf>
    <xf numFmtId="176" fontId="41" fillId="0" borderId="67" xfId="6" applyFont="1" applyFill="1" applyBorder="1" applyAlignment="1"/>
    <xf numFmtId="0" fontId="9" fillId="0" borderId="0" xfId="61" applyNumberFormat="1" applyFont="1" applyFill="1" applyAlignment="1">
      <alignment vertical="top"/>
    </xf>
    <xf numFmtId="0" fontId="20" fillId="0" borderId="36" xfId="6" applyNumberFormat="1" applyFont="1" applyFill="1" applyBorder="1" applyAlignment="1"/>
    <xf numFmtId="176" fontId="40" fillId="0" borderId="22" xfId="0" applyFont="1" applyFill="1" applyBorder="1" applyAlignment="1"/>
    <xf numFmtId="0" fontId="2" fillId="0" borderId="68" xfId="73" applyNumberFormat="1" applyFont="1" applyFill="1" applyBorder="1" applyAlignment="1"/>
    <xf numFmtId="176" fontId="35" fillId="0" borderId="22" xfId="6" applyFont="1" applyBorder="1" applyAlignment="1"/>
    <xf numFmtId="176" fontId="35" fillId="0" borderId="69" xfId="6" applyFont="1" applyBorder="1" applyAlignment="1"/>
    <xf numFmtId="0" fontId="0" fillId="0" borderId="70" xfId="73" applyNumberFormat="1" applyFont="1" applyFill="1" applyBorder="1" applyAlignment="1"/>
    <xf numFmtId="0" fontId="35" fillId="14" borderId="71" xfId="6" applyNumberFormat="1" applyFont="1" applyFill="1" applyBorder="1" applyAlignment="1"/>
    <xf numFmtId="0" fontId="0" fillId="14" borderId="72" xfId="73" applyNumberFormat="1" applyFont="1" applyFill="1" applyBorder="1" applyAlignment="1"/>
    <xf numFmtId="0" fontId="36" fillId="14" borderId="0" xfId="61" applyNumberFormat="1" applyFont="1" applyFill="1" applyBorder="1" applyAlignment="1"/>
    <xf numFmtId="0" fontId="0" fillId="14" borderId="35" xfId="73" applyNumberFormat="1" applyFont="1" applyFill="1" applyBorder="1" applyAlignment="1"/>
    <xf numFmtId="0" fontId="20" fillId="0" borderId="39" xfId="6" applyNumberFormat="1" applyFont="1" applyFill="1" applyBorder="1" applyAlignment="1"/>
    <xf numFmtId="0" fontId="9" fillId="0" borderId="73" xfId="61" applyNumberFormat="1" applyFont="1" applyFill="1" applyBorder="1" applyAlignment="1"/>
    <xf numFmtId="0" fontId="35" fillId="14" borderId="13" xfId="6" applyNumberFormat="1" applyFont="1" applyFill="1" applyBorder="1" applyAlignment="1"/>
    <xf numFmtId="0" fontId="42" fillId="14" borderId="74" xfId="6" applyNumberFormat="1" applyFont="1" applyFill="1" applyBorder="1" applyAlignment="1"/>
    <xf numFmtId="0" fontId="9" fillId="11" borderId="75" xfId="74" applyNumberFormat="1" applyFont="1" applyFill="1" applyBorder="1" applyAlignment="1"/>
    <xf numFmtId="176" fontId="35" fillId="0" borderId="76" xfId="6" applyFont="1" applyBorder="1" applyAlignment="1"/>
    <xf numFmtId="0" fontId="9" fillId="0" borderId="77" xfId="61" applyNumberFormat="1" applyFont="1" applyFill="1" applyBorder="1" applyAlignment="1"/>
    <xf numFmtId="176" fontId="37" fillId="0" borderId="22" xfId="6" applyFont="1" applyBorder="1" applyAlignment="1"/>
    <xf numFmtId="0" fontId="9" fillId="0" borderId="78" xfId="90" applyNumberFormat="1" applyFont="1" applyFill="1" applyBorder="1" applyAlignment="1"/>
    <xf numFmtId="0" fontId="2" fillId="11" borderId="79" xfId="73" applyNumberFormat="1" applyFont="1" applyFill="1" applyBorder="1" applyAlignment="1"/>
    <xf numFmtId="176" fontId="37" fillId="0" borderId="80" xfId="6" applyFont="1" applyFill="1" applyBorder="1" applyAlignment="1"/>
    <xf numFmtId="0" fontId="9" fillId="11" borderId="81" xfId="61" applyNumberFormat="1" applyFont="1" applyFill="1" applyBorder="1" applyAlignment="1"/>
    <xf numFmtId="0" fontId="9" fillId="11" borderId="82" xfId="61" applyNumberFormat="1" applyFont="1" applyFill="1" applyBorder="1" applyAlignment="1"/>
    <xf numFmtId="0" fontId="2" fillId="0" borderId="35" xfId="73" applyNumberFormat="1" applyFont="1" applyFill="1" applyBorder="1" applyAlignment="1"/>
    <xf numFmtId="176" fontId="39" fillId="0" borderId="0" xfId="0" applyFont="1" applyFill="1" applyBorder="1" applyAlignment="1"/>
    <xf numFmtId="0" fontId="0" fillId="0" borderId="35" xfId="73" applyNumberFormat="1" applyFont="1" applyFill="1" applyBorder="1" applyAlignment="1"/>
    <xf numFmtId="176" fontId="37" fillId="0" borderId="0" xfId="6" applyFont="1" applyBorder="1" applyAlignment="1"/>
    <xf numFmtId="0" fontId="22" fillId="0" borderId="78" xfId="61" applyNumberFormat="1" applyFont="1" applyFill="1" applyBorder="1" applyAlignment="1"/>
    <xf numFmtId="176" fontId="35" fillId="0" borderId="83" xfId="6" applyFont="1" applyBorder="1" applyAlignment="1"/>
    <xf numFmtId="0" fontId="20" fillId="0" borderId="84" xfId="61" applyNumberFormat="1" applyFont="1" applyFill="1" applyBorder="1" applyAlignment="1"/>
    <xf numFmtId="176" fontId="38" fillId="0" borderId="0" xfId="6" applyFont="1" applyBorder="1" applyAlignment="1"/>
    <xf numFmtId="0" fontId="22" fillId="0" borderId="0" xfId="61" applyNumberFormat="1" applyFont="1" applyFill="1" applyBorder="1" applyAlignment="1"/>
    <xf numFmtId="0" fontId="35" fillId="15" borderId="85" xfId="6" applyNumberFormat="1" applyFont="1" applyFill="1" applyBorder="1" applyAlignment="1"/>
    <xf numFmtId="0" fontId="20" fillId="15" borderId="72" xfId="61" applyNumberFormat="1" applyFont="1" applyFill="1" applyBorder="1" applyAlignment="1"/>
    <xf numFmtId="0" fontId="36" fillId="15" borderId="36" xfId="61" applyNumberFormat="1" applyFont="1" applyFill="1" applyBorder="1" applyAlignment="1"/>
    <xf numFmtId="0" fontId="20" fillId="15" borderId="35" xfId="61" applyNumberFormat="1" applyFont="1" applyFill="1" applyBorder="1" applyAlignment="1"/>
    <xf numFmtId="0" fontId="0" fillId="0" borderId="73" xfId="73" applyNumberFormat="1" applyFont="1" applyFill="1" applyBorder="1" applyAlignment="1"/>
    <xf numFmtId="176" fontId="38" fillId="0" borderId="13" xfId="6" applyFont="1" applyBorder="1" applyAlignment="1"/>
    <xf numFmtId="0" fontId="22" fillId="0" borderId="13" xfId="61" applyNumberFormat="1" applyFont="1" applyFill="1" applyBorder="1" applyAlignment="1"/>
    <xf numFmtId="0" fontId="35" fillId="15" borderId="39" xfId="6" applyNumberFormat="1" applyFont="1" applyFill="1" applyBorder="1" applyAlignment="1"/>
    <xf numFmtId="0" fontId="20" fillId="15" borderId="73" xfId="61" applyNumberFormat="1" applyFont="1" applyFill="1" applyBorder="1" applyAlignment="1"/>
    <xf numFmtId="0" fontId="43" fillId="0" borderId="36" xfId="6" applyNumberFormat="1" applyFont="1" applyFill="1" applyBorder="1" applyAlignment="1"/>
    <xf numFmtId="0" fontId="43" fillId="0" borderId="34" xfId="6" applyNumberFormat="1" applyFont="1" applyFill="1" applyBorder="1" applyAlignment="1"/>
    <xf numFmtId="0" fontId="44" fillId="0" borderId="36" xfId="61" applyNumberFormat="1" applyFont="1" applyFill="1" applyBorder="1" applyAlignment="1"/>
    <xf numFmtId="0" fontId="24" fillId="0" borderId="86" xfId="6" applyNumberFormat="1" applyFill="1" applyBorder="1" applyAlignment="1"/>
    <xf numFmtId="0" fontId="20" fillId="0" borderId="45" xfId="0" applyNumberFormat="1" applyFont="1" applyFill="1" applyBorder="1" applyAlignment="1"/>
    <xf numFmtId="0" fontId="43" fillId="0" borderId="45" xfId="6" applyNumberFormat="1" applyFont="1" applyBorder="1" applyAlignment="1"/>
    <xf numFmtId="0" fontId="2" fillId="0" borderId="51" xfId="61" applyNumberFormat="1" applyFont="1" applyFill="1" applyBorder="1" applyAlignment="1"/>
    <xf numFmtId="0" fontId="20" fillId="0" borderId="65" xfId="61" applyNumberFormat="1" applyFont="1" applyBorder="1" applyAlignment="1">
      <alignment vertical="top"/>
    </xf>
    <xf numFmtId="0" fontId="20" fillId="0" borderId="64" xfId="0" applyNumberFormat="1" applyFont="1" applyBorder="1"/>
    <xf numFmtId="0" fontId="20" fillId="0" borderId="0" xfId="0" applyNumberFormat="1" applyFont="1" applyBorder="1"/>
    <xf numFmtId="0" fontId="20" fillId="0" borderId="87" xfId="0" applyNumberFormat="1" applyFont="1" applyBorder="1"/>
    <xf numFmtId="0" fontId="20" fillId="0" borderId="44" xfId="0" applyNumberFormat="1" applyFont="1" applyFill="1" applyBorder="1"/>
    <xf numFmtId="0" fontId="39" fillId="0" borderId="48" xfId="6" applyNumberFormat="1" applyFont="1" applyFill="1" applyBorder="1" applyAlignment="1"/>
    <xf numFmtId="0" fontId="39" fillId="14" borderId="0" xfId="6" applyNumberFormat="1" applyFont="1" applyFill="1" applyBorder="1" applyAlignment="1"/>
    <xf numFmtId="0" fontId="2" fillId="11" borderId="42" xfId="61" applyNumberFormat="1" applyFont="1" applyFill="1" applyBorder="1" applyAlignment="1"/>
    <xf numFmtId="0" fontId="39" fillId="0" borderId="36" xfId="61" applyNumberFormat="1" applyFont="1" applyFill="1" applyBorder="1" applyAlignment="1"/>
    <xf numFmtId="0" fontId="38" fillId="0" borderId="37" xfId="6" applyNumberFormat="1" applyFont="1" applyFill="1" applyBorder="1" applyAlignment="1"/>
    <xf numFmtId="0" fontId="39" fillId="14" borderId="0" xfId="61" applyNumberFormat="1" applyFont="1" applyFill="1" applyBorder="1" applyAlignment="1"/>
    <xf numFmtId="0" fontId="2" fillId="14" borderId="37" xfId="61" applyNumberFormat="1" applyFont="1" applyFill="1" applyBorder="1" applyAlignment="1"/>
    <xf numFmtId="0" fontId="37" fillId="2" borderId="45" xfId="6" applyNumberFormat="1" applyFont="1" applyFill="1" applyBorder="1" applyAlignment="1"/>
    <xf numFmtId="0" fontId="42" fillId="0" borderId="51" xfId="6" applyNumberFormat="1" applyFont="1" applyFill="1" applyBorder="1" applyAlignment="1"/>
    <xf numFmtId="0" fontId="37" fillId="14" borderId="13" xfId="6" applyNumberFormat="1" applyFont="1" applyFill="1" applyBorder="1" applyAlignment="1"/>
    <xf numFmtId="0" fontId="0" fillId="14" borderId="51" xfId="61" applyNumberFormat="1" applyFont="1" applyFill="1" applyBorder="1" applyAlignment="1"/>
    <xf numFmtId="0" fontId="43" fillId="0" borderId="48" xfId="6" applyNumberFormat="1" applyFont="1" applyFill="1" applyBorder="1" applyAlignment="1"/>
    <xf numFmtId="0" fontId="2" fillId="11" borderId="49" xfId="61" applyNumberFormat="1" applyFont="1" applyFill="1" applyBorder="1" applyAlignment="1"/>
    <xf numFmtId="0" fontId="43" fillId="0" borderId="45" xfId="54" applyNumberFormat="1" applyFont="1" applyFill="1" applyBorder="1" applyAlignment="1"/>
    <xf numFmtId="0" fontId="20" fillId="0" borderId="35" xfId="61" applyNumberFormat="1" applyFont="1" applyFill="1" applyBorder="1" applyAlignment="1"/>
    <xf numFmtId="0" fontId="20" fillId="0" borderId="88" xfId="61" applyNumberFormat="1" applyFont="1" applyFill="1" applyBorder="1" applyAlignment="1"/>
    <xf numFmtId="0" fontId="20" fillId="0" borderId="48" xfId="0" applyNumberFormat="1" applyFont="1" applyBorder="1"/>
    <xf numFmtId="0" fontId="37" fillId="0" borderId="46" xfId="6" applyNumberFormat="1" applyFont="1" applyFill="1" applyBorder="1" applyAlignment="1" applyProtection="1"/>
    <xf numFmtId="0" fontId="9" fillId="12" borderId="79" xfId="61" applyNumberFormat="1" applyFont="1" applyFill="1" applyBorder="1" applyAlignment="1"/>
    <xf numFmtId="0" fontId="20" fillId="0" borderId="89" xfId="61" applyNumberFormat="1" applyFont="1" applyFill="1" applyBorder="1" applyAlignment="1"/>
    <xf numFmtId="0" fontId="20" fillId="0" borderId="90" xfId="61" applyNumberFormat="1" applyFont="1" applyFill="1" applyBorder="1" applyAlignment="1"/>
    <xf numFmtId="0" fontId="37" fillId="0" borderId="13" xfId="6" applyNumberFormat="1" applyFont="1" applyFill="1" applyBorder="1" applyAlignment="1"/>
    <xf numFmtId="0" fontId="2" fillId="0" borderId="90" xfId="61" applyNumberFormat="1" applyFont="1" applyFill="1" applyBorder="1" applyAlignment="1"/>
    <xf numFmtId="0" fontId="2" fillId="0" borderId="91" xfId="61" applyNumberFormat="1" applyFont="1" applyFill="1" applyBorder="1" applyAlignment="1"/>
    <xf numFmtId="0" fontId="2" fillId="0" borderId="37" xfId="61" applyNumberFormat="1" applyFont="1" applyFill="1" applyBorder="1" applyAlignment="1"/>
    <xf numFmtId="0" fontId="40" fillId="0" borderId="57" xfId="61" applyNumberFormat="1" applyFont="1" applyFill="1" applyBorder="1" applyAlignment="1"/>
    <xf numFmtId="0" fontId="2" fillId="0" borderId="92" xfId="61" applyNumberFormat="1" applyFont="1" applyFill="1" applyBorder="1" applyAlignment="1"/>
    <xf numFmtId="0" fontId="24" fillId="0" borderId="37" xfId="6" applyNumberFormat="1" applyFill="1" applyBorder="1" applyAlignment="1"/>
    <xf numFmtId="0" fontId="20" fillId="0" borderId="45" xfId="0" applyNumberFormat="1" applyFont="1" applyBorder="1"/>
    <xf numFmtId="0" fontId="20" fillId="0" borderId="51" xfId="0" applyNumberFormat="1" applyFont="1" applyBorder="1"/>
    <xf numFmtId="0" fontId="20" fillId="0" borderId="50" xfId="0" applyNumberFormat="1" applyFont="1" applyBorder="1"/>
    <xf numFmtId="0" fontId="43" fillId="0" borderId="30" xfId="6" applyNumberFormat="1" applyFont="1" applyFill="1" applyBorder="1" applyAlignment="1"/>
    <xf numFmtId="0" fontId="9" fillId="11" borderId="93" xfId="61" applyNumberFormat="1" applyFont="1" applyFill="1" applyBorder="1" applyAlignment="1"/>
    <xf numFmtId="0" fontId="44" fillId="0" borderId="34" xfId="61" applyNumberFormat="1" applyFont="1" applyFill="1" applyBorder="1" applyAlignment="1"/>
    <xf numFmtId="0" fontId="20" fillId="0" borderId="94" xfId="61" applyNumberFormat="1" applyFont="1" applyFill="1" applyBorder="1" applyAlignment="1"/>
    <xf numFmtId="0" fontId="39" fillId="16" borderId="36" xfId="6" applyNumberFormat="1" applyFont="1" applyFill="1" applyBorder="1" applyAlignment="1" applyProtection="1"/>
    <xf numFmtId="0" fontId="39" fillId="16" borderId="36" xfId="73" applyNumberFormat="1" applyFont="1" applyFill="1" applyBorder="1" applyAlignment="1"/>
    <xf numFmtId="0" fontId="9" fillId="16" borderId="37" xfId="61" applyNumberFormat="1" applyFont="1" applyFill="1" applyBorder="1" applyAlignment="1"/>
    <xf numFmtId="0" fontId="37" fillId="16" borderId="36" xfId="6" applyNumberFormat="1" applyFont="1" applyFill="1" applyBorder="1" applyAlignment="1" applyProtection="1"/>
    <xf numFmtId="0" fontId="0" fillId="0" borderId="61" xfId="73" applyNumberFormat="1" applyFont="1" applyFill="1" applyBorder="1" applyAlignment="1"/>
    <xf numFmtId="0" fontId="41" fillId="0" borderId="61" xfId="6" applyNumberFormat="1" applyFont="1" applyFill="1" applyBorder="1" applyAlignment="1"/>
    <xf numFmtId="0" fontId="38" fillId="0" borderId="61" xfId="6" applyNumberFormat="1" applyFont="1" applyFill="1" applyBorder="1" applyAlignment="1"/>
    <xf numFmtId="0" fontId="9" fillId="0" borderId="95" xfId="61" applyNumberFormat="1" applyFont="1" applyFill="1" applyBorder="1" applyAlignment="1"/>
    <xf numFmtId="0" fontId="0" fillId="0" borderId="57" xfId="73" applyNumberFormat="1" applyFont="1" applyFill="1" applyBorder="1" applyAlignment="1"/>
    <xf numFmtId="0" fontId="41" fillId="0" borderId="96" xfId="6" applyNumberFormat="1" applyFont="1" applyFill="1" applyBorder="1" applyAlignment="1"/>
    <xf numFmtId="0" fontId="9" fillId="0" borderId="96" xfId="61" applyNumberFormat="1" applyFont="1" applyFill="1" applyBorder="1" applyAlignment="1"/>
    <xf numFmtId="0" fontId="38" fillId="0" borderId="96" xfId="6" applyNumberFormat="1" applyFont="1" applyFill="1" applyBorder="1" applyAlignment="1"/>
    <xf numFmtId="0" fontId="9" fillId="0" borderId="97" xfId="61" applyNumberFormat="1" applyFont="1" applyFill="1" applyBorder="1" applyAlignment="1"/>
    <xf numFmtId="0" fontId="20" fillId="0" borderId="36" xfId="0" applyNumberFormat="1" applyFont="1" applyFill="1" applyBorder="1"/>
    <xf numFmtId="0" fontId="37" fillId="0" borderId="48" xfId="6" applyNumberFormat="1" applyFont="1" applyFill="1" applyBorder="1" applyAlignment="1">
      <alignment vertical="top"/>
    </xf>
    <xf numFmtId="0" fontId="37" fillId="0" borderId="46" xfId="6" applyNumberFormat="1" applyFont="1" applyFill="1" applyBorder="1" applyAlignment="1">
      <alignment vertical="top"/>
    </xf>
    <xf numFmtId="0" fontId="39" fillId="0" borderId="36" xfId="90" applyNumberFormat="1" applyFont="1" applyFill="1" applyBorder="1" applyAlignment="1">
      <alignment vertical="top"/>
    </xf>
    <xf numFmtId="0" fontId="37" fillId="0" borderId="45" xfId="6" applyNumberFormat="1" applyFont="1" applyBorder="1" applyAlignment="1"/>
    <xf numFmtId="0" fontId="45" fillId="0" borderId="0" xfId="0" applyNumberFormat="1" applyFont="1" applyBorder="1"/>
    <xf numFmtId="0" fontId="46" fillId="0" borderId="0" xfId="0" applyNumberFormat="1" applyFont="1" applyBorder="1"/>
    <xf numFmtId="0" fontId="20" fillId="0" borderId="0" xfId="61" applyNumberFormat="1" applyFont="1" applyFill="1" applyBorder="1" applyAlignment="1">
      <alignment vertical="top"/>
    </xf>
    <xf numFmtId="0" fontId="20" fillId="0" borderId="0" xfId="61" applyNumberFormat="1" applyFont="1" applyBorder="1" applyAlignment="1">
      <alignment vertical="top"/>
    </xf>
    <xf numFmtId="0" fontId="9" fillId="0" borderId="0" xfId="61" applyNumberFormat="1" applyFont="1" applyFill="1" applyBorder="1" applyAlignment="1"/>
    <xf numFmtId="0" fontId="20" fillId="0" borderId="0" xfId="61" applyNumberFormat="1" applyFont="1" applyFill="1" applyBorder="1" applyAlignment="1"/>
    <xf numFmtId="0" fontId="9" fillId="0" borderId="0" xfId="61" applyNumberFormat="1" applyFont="1" applyFill="1" applyBorder="1" applyAlignment="1"/>
    <xf numFmtId="0" fontId="43" fillId="0" borderId="46" xfId="6" applyNumberFormat="1" applyFont="1" applyFill="1" applyBorder="1" applyAlignment="1"/>
    <xf numFmtId="0" fontId="44" fillId="0" borderId="36" xfId="78" applyNumberFormat="1" applyFont="1" applyFill="1" applyBorder="1" applyAlignment="1"/>
    <xf numFmtId="0" fontId="43" fillId="17" borderId="34" xfId="6" applyNumberFormat="1" applyFont="1" applyFill="1" applyBorder="1" applyAlignment="1"/>
    <xf numFmtId="0" fontId="20" fillId="17" borderId="37" xfId="61" applyNumberFormat="1" applyFont="1" applyFill="1" applyBorder="1" applyAlignment="1"/>
    <xf numFmtId="0" fontId="20" fillId="17" borderId="37" xfId="0" applyNumberFormat="1" applyFont="1" applyFill="1" applyBorder="1"/>
    <xf numFmtId="0" fontId="41" fillId="0" borderId="48" xfId="6" applyNumberFormat="1" applyFont="1" applyFill="1" applyBorder="1" applyAlignment="1"/>
    <xf numFmtId="0" fontId="24" fillId="0" borderId="0" xfId="6" applyNumberFormat="1" applyFill="1"/>
    <xf numFmtId="0" fontId="0" fillId="2" borderId="45" xfId="73" applyNumberFormat="1" applyFont="1" applyFill="1" applyBorder="1" applyAlignment="1"/>
    <xf numFmtId="0" fontId="38" fillId="0" borderId="0" xfId="6" applyNumberFormat="1" applyFont="1" applyFill="1" applyBorder="1" applyAlignment="1"/>
    <xf numFmtId="0" fontId="38" fillId="0" borderId="36" xfId="6" applyNumberFormat="1" applyFont="1" applyFill="1" applyBorder="1"/>
    <xf numFmtId="0" fontId="34" fillId="0" borderId="43" xfId="6" applyNumberFormat="1" applyFont="1" applyFill="1" applyBorder="1" applyAlignment="1"/>
    <xf numFmtId="0" fontId="38" fillId="0" borderId="45" xfId="6" applyNumberFormat="1" applyFont="1" applyFill="1" applyBorder="1"/>
    <xf numFmtId="0" fontId="9" fillId="11" borderId="98" xfId="61" applyNumberFormat="1" applyFont="1" applyFill="1" applyBorder="1" applyAlignment="1"/>
    <xf numFmtId="0" fontId="20" fillId="2" borderId="30" xfId="6" applyNumberFormat="1" applyFont="1" applyFill="1" applyBorder="1" applyAlignment="1"/>
    <xf numFmtId="0" fontId="9" fillId="12" borderId="98" xfId="61" applyNumberFormat="1" applyFont="1" applyFill="1" applyBorder="1" applyAlignment="1"/>
    <xf numFmtId="0" fontId="9" fillId="0" borderId="48" xfId="6" applyNumberFormat="1" applyFont="1" applyFill="1" applyBorder="1" applyAlignment="1"/>
    <xf numFmtId="0" fontId="38" fillId="0" borderId="50" xfId="6" applyNumberFormat="1" applyFont="1" applyFill="1" applyBorder="1" applyAlignment="1"/>
    <xf numFmtId="0" fontId="20" fillId="2" borderId="34" xfId="0" applyNumberFormat="1" applyFont="1" applyFill="1" applyBorder="1" applyAlignment="1"/>
    <xf numFmtId="0" fontId="9" fillId="0" borderId="36" xfId="0" applyNumberFormat="1" applyFont="1" applyFill="1" applyBorder="1" applyAlignment="1"/>
    <xf numFmtId="0" fontId="38" fillId="2" borderId="43" xfId="6" applyNumberFormat="1" applyFont="1" applyFill="1" applyBorder="1" applyAlignment="1"/>
    <xf numFmtId="0" fontId="34" fillId="0" borderId="36" xfId="6" applyNumberFormat="1" applyFont="1" applyFill="1" applyBorder="1" applyAlignment="1"/>
    <xf numFmtId="0" fontId="20" fillId="2" borderId="0" xfId="73" applyNumberFormat="1" applyFont="1" applyFill="1" applyBorder="1" applyAlignment="1"/>
    <xf numFmtId="0" fontId="20" fillId="2" borderId="44" xfId="73" applyNumberFormat="1" applyFont="1" applyFill="1" applyBorder="1" applyAlignment="1"/>
    <xf numFmtId="0" fontId="34" fillId="0" borderId="45" xfId="6" applyNumberFormat="1" applyFont="1" applyFill="1" applyBorder="1" applyAlignment="1"/>
    <xf numFmtId="0" fontId="38" fillId="0" borderId="44" xfId="6" applyNumberFormat="1" applyFont="1" applyFill="1" applyBorder="1" applyAlignment="1"/>
    <xf numFmtId="0" fontId="20" fillId="0" borderId="48" xfId="6" applyNumberFormat="1" applyFont="1" applyFill="1" applyBorder="1" applyAlignment="1"/>
    <xf numFmtId="0" fontId="9" fillId="13" borderId="34" xfId="61" applyNumberFormat="1" applyFont="1" applyFill="1" applyBorder="1" applyAlignment="1"/>
    <xf numFmtId="0" fontId="47" fillId="2" borderId="0" xfId="61" applyNumberFormat="1" applyFont="1" applyFill="1" applyBorder="1" applyAlignment="1"/>
    <xf numFmtId="0" fontId="9" fillId="0" borderId="99" xfId="61" applyNumberFormat="1" applyFont="1" applyFill="1" applyBorder="1" applyAlignment="1"/>
    <xf numFmtId="0" fontId="20" fillId="0" borderId="100" xfId="61" applyNumberFormat="1" applyFont="1" applyFill="1" applyBorder="1" applyAlignment="1"/>
    <xf numFmtId="0" fontId="9" fillId="0" borderId="100" xfId="61" applyNumberFormat="1" applyFont="1" applyFill="1" applyBorder="1" applyAlignment="1"/>
    <xf numFmtId="0" fontId="20" fillId="0" borderId="101" xfId="61" applyNumberFormat="1" applyFont="1" applyFill="1" applyBorder="1" applyAlignment="1"/>
    <xf numFmtId="0" fontId="20" fillId="0" borderId="74" xfId="61" applyNumberFormat="1" applyFont="1" applyFill="1" applyBorder="1" applyAlignment="1"/>
    <xf numFmtId="0" fontId="20" fillId="9" borderId="0" xfId="0" applyNumberFormat="1" applyFont="1" applyFill="1"/>
    <xf numFmtId="0" fontId="20" fillId="0" borderId="65" xfId="61" applyNumberFormat="1" applyFont="1" applyFill="1" applyBorder="1" applyAlignment="1"/>
    <xf numFmtId="0" fontId="20" fillId="0" borderId="64" xfId="61" applyNumberFormat="1" applyFont="1" applyFill="1" applyBorder="1" applyAlignment="1"/>
    <xf numFmtId="0" fontId="20" fillId="0" borderId="102" xfId="61" applyNumberFormat="1" applyFont="1" applyFill="1" applyBorder="1" applyAlignment="1"/>
    <xf numFmtId="0" fontId="20" fillId="0" borderId="14" xfId="61" applyNumberFormat="1" applyFont="1" applyFill="1" applyBorder="1" applyAlignment="1"/>
    <xf numFmtId="0" fontId="20" fillId="0" borderId="34" xfId="61" applyNumberFormat="1" applyFont="1" applyBorder="1" applyAlignment="1">
      <alignment vertical="top"/>
    </xf>
    <xf numFmtId="0" fontId="46" fillId="0" borderId="0" xfId="61" applyNumberFormat="1" applyFont="1" applyFill="1" applyBorder="1" applyAlignment="1">
      <alignment horizontal="center"/>
    </xf>
    <xf numFmtId="0" fontId="46" fillId="0" borderId="0" xfId="61" applyNumberFormat="1" applyFont="1" applyFill="1" applyBorder="1" applyAlignment="1"/>
    <xf numFmtId="0" fontId="46" fillId="0" borderId="60" xfId="61" applyNumberFormat="1" applyFont="1" applyFill="1" applyBorder="1" applyAlignment="1"/>
    <xf numFmtId="0" fontId="46" fillId="0" borderId="61" xfId="61" applyNumberFormat="1" applyFont="1" applyFill="1" applyBorder="1" applyAlignment="1">
      <alignment horizontal="center"/>
    </xf>
    <xf numFmtId="0" fontId="20" fillId="0" borderId="38" xfId="61" applyNumberFormat="1" applyFont="1" applyBorder="1" applyAlignment="1">
      <alignment vertical="top"/>
    </xf>
    <xf numFmtId="0" fontId="20" fillId="0" borderId="73" xfId="61" applyNumberFormat="1" applyFont="1" applyFill="1" applyBorder="1" applyAlignment="1"/>
    <xf numFmtId="0" fontId="46" fillId="0" borderId="13" xfId="61" applyNumberFormat="1" applyFont="1" applyFill="1" applyBorder="1" applyAlignment="1">
      <alignment horizontal="center"/>
    </xf>
    <xf numFmtId="0" fontId="46" fillId="0" borderId="13" xfId="61" applyNumberFormat="1" applyFont="1" applyFill="1" applyBorder="1" applyAlignment="1"/>
    <xf numFmtId="0" fontId="46" fillId="0" borderId="39" xfId="61" applyNumberFormat="1" applyFont="1" applyFill="1" applyBorder="1" applyAlignment="1"/>
    <xf numFmtId="0" fontId="20" fillId="0" borderId="40" xfId="61" applyNumberFormat="1" applyFont="1" applyFill="1" applyBorder="1" applyAlignment="1"/>
    <xf numFmtId="0" fontId="46" fillId="0" borderId="96" xfId="61" applyNumberFormat="1" applyFont="1" applyFill="1" applyBorder="1" applyAlignment="1">
      <alignment vertical="top"/>
    </xf>
    <xf numFmtId="0" fontId="46" fillId="0" borderId="96" xfId="61" applyNumberFormat="1" applyFont="1" applyFill="1" applyBorder="1" applyAlignment="1">
      <alignment horizontal="center" vertical="top"/>
    </xf>
    <xf numFmtId="0" fontId="46" fillId="0" borderId="0" xfId="61" applyNumberFormat="1" applyFont="1" applyFill="1" applyBorder="1" applyAlignment="1">
      <alignment vertical="top"/>
    </xf>
    <xf numFmtId="0" fontId="46" fillId="0" borderId="0" xfId="61" applyNumberFormat="1" applyFont="1" applyFill="1" applyBorder="1" applyAlignment="1">
      <alignment horizontal="center" vertical="top"/>
    </xf>
    <xf numFmtId="0" fontId="9" fillId="14" borderId="0" xfId="0" applyNumberFormat="1" applyFont="1" applyFill="1"/>
    <xf numFmtId="0" fontId="9" fillId="14" borderId="0" xfId="61" applyNumberFormat="1" applyFont="1" applyFill="1" applyAlignment="1"/>
    <xf numFmtId="0" fontId="20" fillId="14" borderId="0" xfId="61" applyNumberFormat="1" applyFont="1" applyFill="1" applyAlignment="1"/>
    <xf numFmtId="0" fontId="9" fillId="14" borderId="0" xfId="69" applyNumberFormat="1" applyFont="1" applyFill="1" applyBorder="1" applyAlignment="1"/>
    <xf numFmtId="0" fontId="20" fillId="2" borderId="0" xfId="61" applyNumberFormat="1" applyFont="1" applyFill="1" applyAlignment="1"/>
    <xf numFmtId="0" fontId="20" fillId="0" borderId="0" xfId="6" applyNumberFormat="1" applyFont="1" applyFill="1" applyAlignment="1"/>
    <xf numFmtId="0" fontId="2" fillId="0" borderId="0" xfId="0" applyNumberFormat="1" applyFont="1" applyFill="1"/>
    <xf numFmtId="0" fontId="26" fillId="0" borderId="0" xfId="61" applyNumberFormat="1" applyFont="1" applyFill="1" applyAlignment="1"/>
    <xf numFmtId="0" fontId="9" fillId="0" borderId="0" xfId="61" applyNumberFormat="1" applyFont="1" applyFill="1" applyAlignment="1"/>
    <xf numFmtId="0" fontId="46" fillId="0" borderId="0" xfId="61" applyNumberFormat="1" applyFont="1" applyFill="1" applyBorder="1" applyAlignment="1">
      <alignment horizontal="right"/>
    </xf>
    <xf numFmtId="0" fontId="39" fillId="0" borderId="36" xfId="78" applyNumberFormat="1" applyFont="1" applyFill="1" applyBorder="1" applyAlignment="1"/>
    <xf numFmtId="0" fontId="40" fillId="0" borderId="36" xfId="73" applyNumberFormat="1" applyFont="1" applyFill="1" applyBorder="1" applyAlignment="1"/>
    <xf numFmtId="0" fontId="37" fillId="0" borderId="36" xfId="6" applyNumberFormat="1" applyFont="1" applyFill="1" applyBorder="1" applyAlignment="1"/>
    <xf numFmtId="0" fontId="40" fillId="0" borderId="103" xfId="6" applyNumberFormat="1" applyFont="1" applyBorder="1" applyAlignment="1"/>
    <xf numFmtId="0" fontId="20" fillId="15" borderId="104" xfId="6" applyNumberFormat="1" applyFont="1" applyFill="1" applyBorder="1" applyAlignment="1"/>
    <xf numFmtId="0" fontId="2" fillId="15" borderId="86" xfId="61" applyNumberFormat="1" applyFont="1" applyFill="1" applyBorder="1" applyAlignment="1"/>
    <xf numFmtId="0" fontId="20" fillId="15" borderId="36" xfId="61" applyNumberFormat="1" applyFont="1" applyFill="1" applyBorder="1" applyAlignment="1"/>
    <xf numFmtId="0" fontId="2" fillId="15" borderId="37" xfId="61" applyNumberFormat="1" applyFont="1" applyFill="1" applyBorder="1" applyAlignment="1"/>
    <xf numFmtId="0" fontId="46" fillId="0" borderId="44" xfId="61" applyNumberFormat="1" applyFont="1" applyFill="1" applyBorder="1" applyAlignment="1">
      <alignment horizontal="right"/>
    </xf>
    <xf numFmtId="0" fontId="38" fillId="15" borderId="45" xfId="6" applyNumberFormat="1" applyFont="1" applyFill="1" applyBorder="1" applyAlignment="1"/>
    <xf numFmtId="0" fontId="2" fillId="15" borderId="51" xfId="61" applyNumberFormat="1" applyFont="1" applyFill="1" applyBorder="1" applyAlignment="1"/>
    <xf numFmtId="0" fontId="38" fillId="0" borderId="104" xfId="6" applyNumberFormat="1" applyFont="1" applyFill="1" applyBorder="1" applyAlignment="1"/>
    <xf numFmtId="176" fontId="38" fillId="0" borderId="45" xfId="6" applyFont="1" applyFill="1" applyBorder="1" applyAlignment="1"/>
    <xf numFmtId="0" fontId="40" fillId="0" borderId="36" xfId="61" applyNumberFormat="1" applyFont="1" applyFill="1" applyBorder="1" applyAlignment="1"/>
    <xf numFmtId="0" fontId="0" fillId="0" borderId="37" xfId="61" applyNumberFormat="1" applyFont="1" applyFill="1" applyBorder="1" applyAlignment="1"/>
    <xf numFmtId="0" fontId="41" fillId="0" borderId="36" xfId="6" applyNumberFormat="1" applyFont="1" applyFill="1" applyBorder="1" applyAlignment="1"/>
    <xf numFmtId="0" fontId="20" fillId="0" borderId="90" xfId="0" applyNumberFormat="1" applyFont="1" applyBorder="1"/>
    <xf numFmtId="0" fontId="48" fillId="0" borderId="36" xfId="6" applyNumberFormat="1" applyFont="1" applyFill="1" applyBorder="1" applyAlignment="1"/>
    <xf numFmtId="0" fontId="20" fillId="15" borderId="0" xfId="61" applyNumberFormat="1" applyFont="1" applyFill="1" applyBorder="1" applyAlignment="1"/>
    <xf numFmtId="0" fontId="24" fillId="15" borderId="37" xfId="6" applyNumberFormat="1" applyFill="1" applyBorder="1" applyAlignment="1"/>
    <xf numFmtId="0" fontId="48" fillId="0" borderId="45" xfId="6" applyNumberFormat="1" applyFont="1" applyFill="1" applyBorder="1" applyAlignment="1"/>
    <xf numFmtId="0" fontId="0" fillId="0" borderId="51" xfId="61" applyNumberFormat="1" applyFont="1" applyFill="1" applyBorder="1" applyAlignment="1"/>
    <xf numFmtId="0" fontId="38" fillId="15" borderId="44" xfId="6" applyNumberFormat="1" applyFont="1" applyFill="1" applyBorder="1" applyAlignment="1"/>
    <xf numFmtId="0" fontId="9" fillId="0" borderId="0" xfId="61" applyNumberFormat="1" applyFont="1" applyBorder="1" applyAlignment="1">
      <alignment vertical="top"/>
    </xf>
    <xf numFmtId="0" fontId="20" fillId="0" borderId="64" xfId="61" applyNumberFormat="1" applyFont="1" applyBorder="1" applyAlignment="1">
      <alignment vertical="top"/>
    </xf>
    <xf numFmtId="0" fontId="20" fillId="0" borderId="102" xfId="0" applyNumberFormat="1" applyFont="1" applyFill="1" applyBorder="1"/>
    <xf numFmtId="0" fontId="34" fillId="0" borderId="46" xfId="6" applyNumberFormat="1" applyFont="1" applyFill="1" applyBorder="1" applyAlignment="1"/>
    <xf numFmtId="0" fontId="22" fillId="0" borderId="36" xfId="61" applyNumberFormat="1" applyFont="1" applyFill="1" applyBorder="1" applyAlignment="1"/>
    <xf numFmtId="0" fontId="34" fillId="0" borderId="36" xfId="6" applyNumberFormat="1" applyFont="1" applyBorder="1" applyAlignment="1"/>
    <xf numFmtId="0" fontId="34" fillId="0" borderId="52" xfId="6" applyNumberFormat="1" applyFont="1" applyBorder="1" applyAlignment="1"/>
    <xf numFmtId="0" fontId="9" fillId="0" borderId="90" xfId="61" applyNumberFormat="1" applyFont="1" applyFill="1" applyBorder="1" applyAlignment="1"/>
    <xf numFmtId="0" fontId="9" fillId="15" borderId="86" xfId="61" applyNumberFormat="1" applyFont="1" applyFill="1" applyBorder="1" applyAlignment="1"/>
    <xf numFmtId="0" fontId="9" fillId="15" borderId="37" xfId="61" applyNumberFormat="1" applyFont="1" applyFill="1" applyBorder="1" applyAlignment="1"/>
    <xf numFmtId="0" fontId="20" fillId="14" borderId="71" xfId="6" applyNumberFormat="1" applyFont="1" applyFill="1" applyBorder="1" applyAlignment="1"/>
    <xf numFmtId="0" fontId="20" fillId="14" borderId="36" xfId="61" applyNumberFormat="1" applyFont="1" applyFill="1" applyBorder="1" applyAlignment="1"/>
    <xf numFmtId="0" fontId="38" fillId="14" borderId="45" xfId="6" applyNumberFormat="1" applyFont="1" applyFill="1" applyBorder="1" applyAlignment="1"/>
    <xf numFmtId="0" fontId="2" fillId="14" borderId="99" xfId="61" applyNumberFormat="1" applyFont="1" applyFill="1" applyBorder="1" applyAlignment="1"/>
    <xf numFmtId="0" fontId="34" fillId="0" borderId="48" xfId="6" applyNumberFormat="1" applyFont="1" applyBorder="1" applyAlignment="1"/>
    <xf numFmtId="0" fontId="9" fillId="0" borderId="36" xfId="90" applyNumberFormat="1" applyFont="1" applyFill="1" applyBorder="1" applyAlignment="1"/>
    <xf numFmtId="0" fontId="34" fillId="0" borderId="105" xfId="6" applyNumberFormat="1" applyFont="1" applyBorder="1" applyAlignment="1"/>
    <xf numFmtId="0" fontId="9" fillId="11" borderId="106" xfId="61" applyNumberFormat="1" applyFont="1" applyFill="1" applyBorder="1" applyAlignment="1"/>
    <xf numFmtId="0" fontId="20" fillId="15" borderId="36" xfId="6" applyNumberFormat="1" applyFont="1" applyFill="1" applyBorder="1" applyAlignment="1"/>
    <xf numFmtId="0" fontId="9" fillId="11" borderId="107" xfId="61" applyNumberFormat="1" applyFont="1" applyFill="1" applyBorder="1" applyAlignment="1"/>
    <xf numFmtId="0" fontId="9" fillId="15" borderId="35" xfId="61" applyNumberFormat="1" applyFont="1" applyFill="1" applyBorder="1" applyAlignment="1"/>
    <xf numFmtId="0" fontId="9" fillId="15" borderId="74" xfId="61" applyNumberFormat="1" applyFont="1" applyFill="1" applyBorder="1" applyAlignment="1"/>
    <xf numFmtId="0" fontId="38" fillId="2" borderId="48" xfId="6" applyNumberFormat="1" applyFont="1" applyFill="1" applyBorder="1" applyAlignment="1"/>
    <xf numFmtId="0" fontId="20" fillId="2" borderId="36" xfId="61" applyNumberFormat="1" applyFont="1" applyFill="1" applyBorder="1" applyAlignment="1"/>
    <xf numFmtId="0" fontId="9" fillId="2" borderId="37" xfId="61" applyNumberFormat="1" applyFont="1" applyFill="1" applyBorder="1" applyAlignment="1"/>
    <xf numFmtId="0" fontId="38" fillId="2" borderId="83" xfId="6" applyNumberFormat="1" applyFont="1" applyFill="1" applyBorder="1" applyAlignment="1"/>
    <xf numFmtId="0" fontId="38" fillId="15" borderId="67" xfId="6" applyNumberFormat="1" applyFont="1" applyFill="1" applyBorder="1" applyAlignment="1"/>
    <xf numFmtId="0" fontId="20" fillId="15" borderId="22" xfId="90" applyNumberFormat="1" applyFont="1" applyFill="1" applyBorder="1" applyAlignment="1"/>
    <xf numFmtId="0" fontId="9" fillId="18" borderId="37" xfId="61" applyNumberFormat="1" applyFont="1" applyFill="1" applyBorder="1" applyAlignment="1"/>
    <xf numFmtId="0" fontId="38" fillId="15" borderId="108" xfId="6" applyNumberFormat="1" applyFont="1" applyFill="1" applyBorder="1" applyAlignment="1"/>
    <xf numFmtId="0" fontId="9" fillId="18" borderId="51" xfId="61" applyNumberFormat="1" applyFont="1" applyFill="1" applyBorder="1" applyAlignment="1"/>
    <xf numFmtId="0" fontId="38" fillId="18" borderId="108" xfId="6" applyNumberFormat="1" applyFont="1" applyFill="1" applyBorder="1" applyAlignment="1"/>
    <xf numFmtId="0" fontId="20" fillId="0" borderId="103" xfId="61" applyNumberFormat="1" applyFont="1" applyFill="1" applyBorder="1" applyAlignment="1"/>
    <xf numFmtId="0" fontId="9" fillId="0" borderId="89" xfId="61" applyNumberFormat="1" applyFont="1" applyFill="1" applyBorder="1" applyAlignment="1"/>
    <xf numFmtId="0" fontId="20" fillId="0" borderId="61" xfId="61" applyNumberFormat="1" applyFont="1" applyFill="1" applyBorder="1" applyAlignment="1">
      <alignment vertical="top"/>
    </xf>
    <xf numFmtId="0" fontId="41" fillId="0" borderId="61" xfId="6" applyNumberFormat="1" applyFont="1" applyFill="1" applyBorder="1" applyAlignment="1">
      <alignment vertical="top"/>
    </xf>
    <xf numFmtId="0" fontId="46" fillId="0" borderId="61" xfId="61" applyNumberFormat="1" applyFont="1" applyFill="1" applyBorder="1" applyAlignment="1">
      <alignment horizontal="right" vertical="top"/>
    </xf>
    <xf numFmtId="0" fontId="46" fillId="0" borderId="61" xfId="61" applyNumberFormat="1" applyFont="1" applyFill="1" applyBorder="1" applyAlignment="1">
      <alignment vertical="top"/>
    </xf>
    <xf numFmtId="0" fontId="46" fillId="0" borderId="61" xfId="61" applyNumberFormat="1" applyFont="1" applyFill="1" applyBorder="1" applyAlignment="1"/>
    <xf numFmtId="0" fontId="46" fillId="0" borderId="109" xfId="61" applyNumberFormat="1" applyFont="1" applyFill="1" applyBorder="1" applyAlignment="1">
      <alignment horizontal="right"/>
    </xf>
    <xf numFmtId="0" fontId="20" fillId="0" borderId="96" xfId="61" applyNumberFormat="1" applyFont="1" applyFill="1" applyBorder="1" applyAlignment="1">
      <alignment vertical="top"/>
    </xf>
    <xf numFmtId="0" fontId="41" fillId="0" borderId="13" xfId="6" applyNumberFormat="1" applyFont="1" applyFill="1" applyBorder="1" applyAlignment="1">
      <alignment horizontal="center"/>
    </xf>
    <xf numFmtId="0" fontId="46" fillId="0" borderId="73" xfId="6" applyNumberFormat="1" applyFont="1" applyFill="1" applyBorder="1" applyAlignment="1"/>
    <xf numFmtId="0" fontId="41" fillId="0" borderId="0" xfId="6" applyNumberFormat="1" applyFont="1" applyFill="1" applyBorder="1" applyAlignment="1">
      <alignment horizontal="center"/>
    </xf>
    <xf numFmtId="0" fontId="46" fillId="0" borderId="0" xfId="6" applyNumberFormat="1" applyFont="1" applyFill="1" applyBorder="1" applyAlignment="1"/>
    <xf numFmtId="0" fontId="24" fillId="0" borderId="0" xfId="6" applyNumberFormat="1" applyFill="1" applyAlignment="1">
      <alignment horizontal="right"/>
    </xf>
    <xf numFmtId="0" fontId="40" fillId="0" borderId="0" xfId="61" applyNumberFormat="1" applyFont="1" applyFill="1" applyAlignment="1">
      <alignment horizontal="right"/>
    </xf>
    <xf numFmtId="0" fontId="49" fillId="0" borderId="0" xfId="6" applyNumberFormat="1" applyFont="1" applyFill="1" applyBorder="1" applyAlignment="1">
      <alignment horizontal="right"/>
    </xf>
    <xf numFmtId="0" fontId="49" fillId="0" borderId="0" xfId="6" applyNumberFormat="1" applyFont="1" applyFill="1" applyBorder="1" applyAlignment="1">
      <alignment horizontal="center"/>
    </xf>
    <xf numFmtId="3" fontId="20" fillId="0" borderId="0" xfId="0" applyNumberFormat="1" applyFont="1"/>
    <xf numFmtId="0" fontId="9" fillId="0" borderId="0" xfId="61" applyNumberFormat="1" applyFont="1" applyFill="1" applyAlignment="1">
      <alignment horizontal="right"/>
    </xf>
    <xf numFmtId="3" fontId="20" fillId="0" borderId="0" xfId="87" applyNumberFormat="1" applyFont="1" applyFill="1" applyAlignment="1">
      <alignment horizontal="right"/>
    </xf>
    <xf numFmtId="3" fontId="20" fillId="0" borderId="0" xfId="61" applyNumberFormat="1" applyFont="1" applyFill="1" applyAlignment="1"/>
    <xf numFmtId="0" fontId="9" fillId="5" borderId="110" xfId="61" applyNumberFormat="1" applyFont="1" applyFill="1" applyBorder="1" applyAlignment="1"/>
    <xf numFmtId="0" fontId="9" fillId="5" borderId="1" xfId="61" applyNumberFormat="1" applyFont="1" applyFill="1" applyBorder="1" applyAlignment="1"/>
    <xf numFmtId="3" fontId="9" fillId="5" borderId="1" xfId="61" applyNumberFormat="1" applyFont="1" applyFill="1" applyBorder="1" applyAlignment="1"/>
    <xf numFmtId="0" fontId="9" fillId="5" borderId="111" xfId="61" applyNumberFormat="1" applyFont="1" applyFill="1" applyBorder="1" applyAlignment="1"/>
    <xf numFmtId="0" fontId="20" fillId="5" borderId="112" xfId="61" applyNumberFormat="1" applyFont="1" applyFill="1" applyBorder="1" applyAlignment="1"/>
    <xf numFmtId="3" fontId="20" fillId="0" borderId="0" xfId="61" applyNumberFormat="1" applyFont="1" applyAlignment="1">
      <alignment horizontal="center"/>
    </xf>
    <xf numFmtId="0" fontId="36" fillId="0" borderId="113" xfId="61" applyNumberFormat="1" applyFont="1" applyFill="1" applyBorder="1" applyAlignment="1"/>
    <xf numFmtId="0" fontId="36" fillId="0" borderId="113" xfId="0" applyNumberFormat="1" applyFont="1" applyFill="1" applyBorder="1" applyAlignment="1"/>
    <xf numFmtId="0" fontId="36" fillId="0" borderId="1" xfId="6" applyNumberFormat="1" applyFont="1" applyFill="1" applyBorder="1" applyAlignment="1"/>
    <xf numFmtId="0" fontId="36" fillId="0" borderId="1" xfId="0" applyNumberFormat="1" applyFont="1" applyFill="1" applyBorder="1" applyAlignment="1"/>
    <xf numFmtId="0" fontId="50" fillId="0" borderId="1" xfId="6" applyNumberFormat="1" applyFont="1" applyFill="1" applyBorder="1" applyAlignment="1"/>
    <xf numFmtId="0" fontId="35" fillId="0" borderId="1" xfId="6" applyNumberFormat="1" applyFont="1" applyFill="1" applyBorder="1" applyAlignment="1"/>
    <xf numFmtId="0" fontId="36" fillId="0" borderId="1" xfId="61" applyNumberFormat="1" applyFont="1" applyFill="1" applyBorder="1" applyAlignment="1"/>
    <xf numFmtId="3" fontId="36" fillId="0" borderId="1" xfId="61" applyNumberFormat="1" applyFont="1" applyFill="1" applyBorder="1" applyAlignment="1"/>
    <xf numFmtId="0" fontId="36" fillId="19" borderId="1" xfId="61" applyNumberFormat="1" applyFont="1" applyFill="1" applyBorder="1" applyAlignment="1"/>
    <xf numFmtId="0" fontId="36" fillId="19" borderId="1" xfId="0" applyNumberFormat="1" applyFont="1" applyFill="1" applyBorder="1" applyAlignment="1"/>
    <xf numFmtId="0" fontId="36" fillId="19" borderId="1" xfId="6" applyNumberFormat="1" applyFont="1" applyFill="1" applyBorder="1" applyAlignment="1"/>
    <xf numFmtId="0" fontId="51" fillId="19" borderId="1" xfId="6" applyNumberFormat="1" applyFont="1" applyFill="1" applyBorder="1" applyAlignment="1"/>
    <xf numFmtId="0" fontId="35" fillId="19" borderId="1" xfId="6" applyNumberFormat="1" applyFont="1" applyFill="1" applyBorder="1" applyAlignment="1"/>
    <xf numFmtId="3" fontId="36" fillId="19" borderId="1" xfId="61" applyNumberFormat="1" applyFont="1" applyFill="1" applyBorder="1" applyAlignment="1"/>
    <xf numFmtId="0" fontId="36" fillId="2" borderId="1" xfId="61" applyNumberFormat="1" applyFont="1" applyFill="1" applyBorder="1" applyAlignment="1"/>
    <xf numFmtId="0" fontId="36" fillId="2" borderId="1" xfId="0" applyNumberFormat="1" applyFont="1" applyFill="1" applyBorder="1" applyAlignment="1"/>
    <xf numFmtId="0" fontId="51" fillId="2" borderId="1" xfId="6" applyNumberFormat="1" applyFont="1" applyFill="1" applyBorder="1" applyAlignment="1"/>
    <xf numFmtId="0" fontId="35" fillId="2" borderId="1" xfId="6" applyNumberFormat="1" applyFont="1" applyFill="1" applyBorder="1" applyAlignment="1"/>
    <xf numFmtId="3" fontId="36" fillId="2" borderId="1" xfId="61" applyNumberFormat="1" applyFont="1" applyFill="1" applyBorder="1" applyAlignment="1">
      <alignment horizontal="center"/>
    </xf>
    <xf numFmtId="0" fontId="36" fillId="15" borderId="110" xfId="61" applyNumberFormat="1" applyFont="1" applyFill="1" applyBorder="1" applyAlignment="1"/>
    <xf numFmtId="0" fontId="36" fillId="15" borderId="1" xfId="61" applyNumberFormat="1" applyFont="1" applyFill="1" applyBorder="1" applyAlignment="1"/>
    <xf numFmtId="0" fontId="42" fillId="15" borderId="1" xfId="6" applyNumberFormat="1" applyFont="1" applyFill="1" applyBorder="1" applyAlignment="1"/>
    <xf numFmtId="0" fontId="35" fillId="15" borderId="1" xfId="6" applyNumberFormat="1" applyFont="1" applyFill="1" applyBorder="1" applyAlignment="1"/>
    <xf numFmtId="3" fontId="36" fillId="15" borderId="1" xfId="61" applyNumberFormat="1" applyFont="1" applyFill="1" applyBorder="1" applyAlignment="1">
      <alignment horizontal="center"/>
    </xf>
    <xf numFmtId="0" fontId="20" fillId="0" borderId="0" xfId="61" applyNumberFormat="1" applyFont="1" applyBorder="1" applyAlignment="1"/>
    <xf numFmtId="0" fontId="36" fillId="0" borderId="0" xfId="61" applyNumberFormat="1" applyFont="1" applyBorder="1" applyAlignment="1"/>
    <xf numFmtId="3" fontId="36" fillId="0" borderId="0" xfId="61" applyNumberFormat="1" applyFont="1" applyBorder="1" applyAlignment="1">
      <alignment horizontal="center"/>
    </xf>
    <xf numFmtId="0" fontId="36" fillId="9" borderId="113" xfId="61" applyNumberFormat="1" applyFont="1" applyFill="1" applyBorder="1" applyAlignment="1"/>
    <xf numFmtId="0" fontId="36" fillId="9" borderId="113" xfId="0" applyNumberFormat="1" applyFont="1" applyFill="1" applyBorder="1" applyAlignment="1"/>
    <xf numFmtId="0" fontId="36" fillId="9" borderId="1" xfId="6" applyNumberFormat="1" applyFont="1" applyFill="1" applyBorder="1" applyAlignment="1"/>
    <xf numFmtId="0" fontId="36" fillId="9" borderId="1" xfId="0" applyNumberFormat="1" applyFont="1" applyFill="1" applyBorder="1" applyAlignment="1"/>
    <xf numFmtId="0" fontId="52" fillId="9" borderId="1" xfId="6" applyNumberFormat="1" applyFont="1" applyFill="1" applyBorder="1" applyAlignment="1">
      <alignment horizontal="right"/>
    </xf>
    <xf numFmtId="0" fontId="35" fillId="9" borderId="1" xfId="6" applyNumberFormat="1" applyFont="1" applyFill="1" applyBorder="1" applyAlignment="1"/>
    <xf numFmtId="3" fontId="36" fillId="9" borderId="1" xfId="61" applyNumberFormat="1" applyFont="1" applyFill="1" applyBorder="1" applyAlignment="1">
      <alignment horizontal="center"/>
    </xf>
    <xf numFmtId="0" fontId="42" fillId="19" borderId="1" xfId="6" applyNumberFormat="1" applyFont="1" applyFill="1" applyBorder="1" applyAlignment="1"/>
    <xf numFmtId="0" fontId="24" fillId="2" borderId="1" xfId="6" applyNumberFormat="1" applyFill="1" applyBorder="1" applyAlignment="1"/>
    <xf numFmtId="0" fontId="36" fillId="0" borderId="110" xfId="61" applyNumberFormat="1" applyFont="1" applyFill="1" applyBorder="1" applyAlignment="1"/>
    <xf numFmtId="0" fontId="24" fillId="0" borderId="1" xfId="6" applyNumberFormat="1" applyFill="1" applyBorder="1" applyAlignment="1"/>
    <xf numFmtId="3" fontId="36" fillId="0" borderId="1" xfId="61" applyNumberFormat="1" applyFont="1" applyFill="1" applyBorder="1" applyAlignment="1">
      <alignment horizontal="center"/>
    </xf>
    <xf numFmtId="0" fontId="38" fillId="0" borderId="0" xfId="49" applyNumberFormat="1" applyFont="1" applyBorder="1" applyAlignment="1"/>
    <xf numFmtId="0" fontId="36" fillId="2" borderId="113" xfId="61" applyNumberFormat="1" applyFont="1" applyFill="1" applyBorder="1" applyAlignment="1"/>
    <xf numFmtId="0" fontId="36" fillId="2" borderId="113" xfId="0" applyNumberFormat="1" applyFont="1" applyFill="1" applyBorder="1" applyAlignment="1"/>
    <xf numFmtId="0" fontId="36" fillId="16" borderId="113" xfId="61" applyNumberFormat="1" applyFont="1" applyFill="1" applyBorder="1" applyAlignment="1"/>
    <xf numFmtId="0" fontId="36" fillId="16" borderId="1" xfId="6" applyNumberFormat="1" applyFont="1" applyFill="1" applyBorder="1" applyAlignment="1"/>
    <xf numFmtId="0" fontId="36" fillId="16" borderId="1" xfId="0" applyNumberFormat="1" applyFont="1" applyFill="1" applyBorder="1" applyAlignment="1"/>
    <xf numFmtId="0" fontId="24" fillId="16" borderId="1" xfId="6" applyNumberFormat="1" applyFill="1" applyBorder="1" applyAlignment="1"/>
    <xf numFmtId="0" fontId="35" fillId="16" borderId="1" xfId="6" applyNumberFormat="1" applyFont="1" applyFill="1" applyBorder="1" applyAlignment="1"/>
    <xf numFmtId="0" fontId="36" fillId="16" borderId="1" xfId="61" applyNumberFormat="1" applyFont="1" applyFill="1" applyBorder="1" applyAlignment="1"/>
    <xf numFmtId="3" fontId="36" fillId="16" borderId="1" xfId="61" applyNumberFormat="1" applyFont="1" applyFill="1" applyBorder="1" applyAlignment="1">
      <alignment horizontal="center"/>
    </xf>
    <xf numFmtId="0" fontId="20" fillId="7" borderId="110" xfId="61" applyNumberFormat="1" applyFont="1" applyFill="1" applyBorder="1" applyAlignment="1"/>
    <xf numFmtId="0" fontId="20" fillId="7" borderId="110" xfId="0" applyNumberFormat="1" applyFont="1" applyFill="1" applyBorder="1" applyAlignment="1"/>
    <xf numFmtId="0" fontId="20" fillId="7" borderId="1" xfId="0" applyNumberFormat="1" applyFont="1" applyFill="1" applyBorder="1" applyAlignment="1"/>
    <xf numFmtId="0" fontId="35" fillId="7" borderId="1" xfId="6" applyNumberFormat="1" applyFont="1" applyFill="1" applyBorder="1" applyAlignment="1"/>
    <xf numFmtId="0" fontId="36" fillId="7" borderId="1" xfId="61" applyNumberFormat="1" applyFont="1" applyFill="1" applyBorder="1" applyAlignment="1"/>
    <xf numFmtId="3" fontId="36" fillId="7" borderId="1" xfId="61" applyNumberFormat="1" applyFont="1" applyFill="1" applyBorder="1" applyAlignment="1">
      <alignment horizontal="center"/>
    </xf>
    <xf numFmtId="0" fontId="36" fillId="13" borderId="113" xfId="61" applyNumberFormat="1" applyFont="1" applyFill="1" applyBorder="1" applyAlignment="1"/>
    <xf numFmtId="0" fontId="35" fillId="13" borderId="1" xfId="6" applyNumberFormat="1" applyFont="1" applyFill="1" applyBorder="1" applyAlignment="1"/>
    <xf numFmtId="0" fontId="36" fillId="13" borderId="1" xfId="61" applyNumberFormat="1" applyFont="1" applyFill="1" applyBorder="1" applyAlignment="1"/>
    <xf numFmtId="0" fontId="20" fillId="13" borderId="1" xfId="6" applyNumberFormat="1" applyFont="1" applyFill="1" applyBorder="1" applyAlignment="1"/>
    <xf numFmtId="0" fontId="36" fillId="13" borderId="1" xfId="0" applyNumberFormat="1" applyFont="1" applyFill="1" applyBorder="1" applyAlignment="1"/>
    <xf numFmtId="3" fontId="36" fillId="13" borderId="1" xfId="61" applyNumberFormat="1" applyFont="1" applyFill="1" applyBorder="1" applyAlignment="1">
      <alignment horizontal="center"/>
    </xf>
    <xf numFmtId="0" fontId="20" fillId="15" borderId="1" xfId="61" applyNumberFormat="1" applyFont="1" applyFill="1" applyBorder="1" applyAlignment="1"/>
    <xf numFmtId="0" fontId="38" fillId="15" borderId="1" xfId="6" applyNumberFormat="1" applyFont="1" applyFill="1" applyBorder="1" applyAlignment="1"/>
    <xf numFmtId="0" fontId="20" fillId="15" borderId="1" xfId="0" applyNumberFormat="1" applyFont="1" applyFill="1" applyBorder="1" applyAlignment="1"/>
    <xf numFmtId="3" fontId="20" fillId="15" borderId="1" xfId="61" applyNumberFormat="1" applyFont="1" applyFill="1" applyBorder="1" applyAlignment="1">
      <alignment horizontal="center"/>
    </xf>
    <xf numFmtId="0" fontId="20" fillId="2" borderId="1" xfId="61" applyNumberFormat="1" applyFont="1" applyFill="1" applyBorder="1" applyAlignment="1"/>
    <xf numFmtId="0" fontId="20" fillId="2" borderId="1" xfId="0" applyNumberFormat="1" applyFont="1" applyFill="1" applyBorder="1" applyAlignment="1"/>
    <xf numFmtId="0" fontId="38" fillId="2" borderId="1" xfId="6" applyNumberFormat="1" applyFont="1" applyFill="1" applyBorder="1" applyAlignment="1"/>
    <xf numFmtId="3" fontId="20" fillId="2" borderId="1" xfId="61" applyNumberFormat="1" applyFont="1" applyFill="1" applyBorder="1" applyAlignment="1">
      <alignment horizontal="center"/>
    </xf>
    <xf numFmtId="0" fontId="20" fillId="15" borderId="110" xfId="61" applyNumberFormat="1" applyFont="1" applyFill="1" applyBorder="1" applyAlignment="1"/>
    <xf numFmtId="3" fontId="20" fillId="0" borderId="0" xfId="61" applyNumberFormat="1" applyFont="1" applyBorder="1" applyAlignment="1">
      <alignment horizontal="center"/>
    </xf>
    <xf numFmtId="0" fontId="20" fillId="2" borderId="113" xfId="61" applyNumberFormat="1" applyFont="1" applyFill="1" applyBorder="1" applyAlignment="1"/>
    <xf numFmtId="0" fontId="20" fillId="2" borderId="113" xfId="0" applyNumberFormat="1" applyFont="1" applyFill="1" applyBorder="1" applyAlignment="1"/>
    <xf numFmtId="3" fontId="20" fillId="2" borderId="110" xfId="61" applyNumberFormat="1" applyFont="1" applyFill="1" applyBorder="1" applyAlignment="1">
      <alignment horizontal="center"/>
    </xf>
    <xf numFmtId="0" fontId="20" fillId="19" borderId="1" xfId="61" applyNumberFormat="1" applyFont="1" applyFill="1" applyBorder="1" applyAlignment="1"/>
    <xf numFmtId="0" fontId="20" fillId="19" borderId="1" xfId="0" applyNumberFormat="1" applyFont="1" applyFill="1" applyBorder="1" applyAlignment="1"/>
    <xf numFmtId="0" fontId="20" fillId="19" borderId="1" xfId="6" applyNumberFormat="1" applyFont="1" applyFill="1" applyBorder="1" applyAlignment="1"/>
    <xf numFmtId="0" fontId="24" fillId="19" borderId="1" xfId="6" applyNumberFormat="1" applyFont="1" applyFill="1" applyBorder="1" applyAlignment="1"/>
    <xf numFmtId="0" fontId="38" fillId="19" borderId="1" xfId="6" applyNumberFormat="1" applyFont="1" applyFill="1" applyBorder="1" applyAlignment="1"/>
    <xf numFmtId="3" fontId="20" fillId="19" borderId="1" xfId="61" applyNumberFormat="1" applyFont="1" applyFill="1" applyBorder="1" applyAlignment="1"/>
    <xf numFmtId="0" fontId="20" fillId="13" borderId="1" xfId="61" applyNumberFormat="1" applyFont="1" applyFill="1" applyBorder="1" applyAlignment="1"/>
    <xf numFmtId="0" fontId="38" fillId="13" borderId="1" xfId="6" applyNumberFormat="1" applyFont="1" applyFill="1" applyBorder="1" applyAlignment="1"/>
    <xf numFmtId="0" fontId="20" fillId="13" borderId="1" xfId="0" applyNumberFormat="1" applyFont="1" applyFill="1" applyBorder="1" applyAlignment="1"/>
    <xf numFmtId="3" fontId="20" fillId="13" borderId="1" xfId="61" applyNumberFormat="1" applyFont="1" applyFill="1" applyBorder="1" applyAlignment="1">
      <alignment horizontal="center"/>
    </xf>
    <xf numFmtId="0" fontId="9" fillId="15" borderId="1" xfId="61" applyNumberFormat="1" applyFont="1" applyFill="1" applyBorder="1" applyAlignment="1"/>
    <xf numFmtId="0" fontId="53" fillId="15" borderId="1" xfId="6" applyNumberFormat="1" applyFont="1" applyFill="1" applyBorder="1" applyAlignment="1"/>
    <xf numFmtId="0" fontId="34" fillId="15" borderId="1" xfId="6" applyNumberFormat="1" applyFont="1" applyFill="1" applyBorder="1" applyAlignment="1"/>
    <xf numFmtId="0" fontId="9" fillId="15" borderId="1" xfId="0" applyNumberFormat="1" applyFont="1" applyFill="1" applyBorder="1" applyAlignment="1"/>
    <xf numFmtId="3" fontId="9" fillId="15" borderId="1" xfId="61" applyNumberFormat="1" applyFont="1" applyFill="1" applyBorder="1" applyAlignment="1">
      <alignment horizontal="center"/>
    </xf>
    <xf numFmtId="0" fontId="20" fillId="11" borderId="110" xfId="61" applyNumberFormat="1" applyFont="1" applyFill="1" applyBorder="1" applyAlignment="1"/>
    <xf numFmtId="0" fontId="20" fillId="11" borderId="110" xfId="0" applyNumberFormat="1" applyFont="1" applyFill="1" applyBorder="1" applyAlignment="1"/>
    <xf numFmtId="0" fontId="38" fillId="11" borderId="110" xfId="6" applyNumberFormat="1" applyFont="1" applyFill="1" applyBorder="1" applyAlignment="1"/>
    <xf numFmtId="3" fontId="20" fillId="11" borderId="110" xfId="61" applyNumberFormat="1" applyFont="1" applyFill="1" applyBorder="1" applyAlignment="1">
      <alignment horizontal="center"/>
    </xf>
    <xf numFmtId="0" fontId="9" fillId="10" borderId="110" xfId="61" applyNumberFormat="1" applyFont="1" applyFill="1" applyBorder="1" applyAlignment="1">
      <alignment vertical="center"/>
    </xf>
    <xf numFmtId="0" fontId="9" fillId="10" borderId="110" xfId="61" applyNumberFormat="1" applyFont="1" applyFill="1" applyBorder="1" applyAlignment="1"/>
    <xf numFmtId="0" fontId="54" fillId="10" borderId="110" xfId="6" applyNumberFormat="1" applyFont="1" applyFill="1" applyBorder="1" applyAlignment="1"/>
    <xf numFmtId="0" fontId="34" fillId="10" borderId="110" xfId="6" applyNumberFormat="1" applyFont="1" applyFill="1" applyBorder="1" applyAlignment="1"/>
    <xf numFmtId="0" fontId="9" fillId="10" borderId="110" xfId="0" applyNumberFormat="1" applyFont="1" applyFill="1" applyBorder="1" applyAlignment="1"/>
    <xf numFmtId="3" fontId="9" fillId="10" borderId="110" xfId="61" applyNumberFormat="1" applyFont="1" applyFill="1" applyBorder="1" applyAlignment="1">
      <alignment horizontal="center"/>
    </xf>
    <xf numFmtId="0" fontId="9" fillId="10" borderId="113" xfId="61" applyNumberFormat="1" applyFont="1" applyFill="1" applyBorder="1" applyAlignment="1"/>
    <xf numFmtId="0" fontId="54" fillId="10" borderId="113" xfId="6" applyNumberFormat="1" applyFont="1" applyFill="1" applyBorder="1" applyAlignment="1"/>
    <xf numFmtId="0" fontId="34" fillId="10" borderId="113" xfId="6" applyNumberFormat="1" applyFont="1" applyFill="1" applyBorder="1" applyAlignment="1"/>
    <xf numFmtId="0" fontId="9" fillId="10" borderId="113" xfId="0" applyNumberFormat="1" applyFont="1" applyFill="1" applyBorder="1" applyAlignment="1"/>
    <xf numFmtId="3" fontId="9" fillId="10" borderId="113" xfId="61" applyNumberFormat="1" applyFont="1" applyFill="1" applyBorder="1" applyAlignment="1">
      <alignment horizontal="center"/>
    </xf>
    <xf numFmtId="0" fontId="55" fillId="20" borderId="1" xfId="61" applyNumberFormat="1" applyFont="1" applyFill="1" applyBorder="1" applyAlignment="1"/>
    <xf numFmtId="0" fontId="55" fillId="20" borderId="1" xfId="0" applyNumberFormat="1" applyFont="1" applyFill="1" applyBorder="1" applyAlignment="1"/>
    <xf numFmtId="0" fontId="56" fillId="20" borderId="1" xfId="0" applyNumberFormat="1" applyFont="1" applyFill="1" applyBorder="1"/>
    <xf numFmtId="0" fontId="55" fillId="20" borderId="1" xfId="6" applyNumberFormat="1" applyFont="1" applyFill="1" applyBorder="1" applyAlignment="1"/>
    <xf numFmtId="0" fontId="57" fillId="20" borderId="1" xfId="6" applyNumberFormat="1" applyFont="1" applyFill="1" applyBorder="1" applyAlignment="1"/>
    <xf numFmtId="3" fontId="55" fillId="20" borderId="1" xfId="61" applyNumberFormat="1" applyFont="1" applyFill="1" applyBorder="1" applyAlignment="1">
      <alignment horizontal="center"/>
    </xf>
    <xf numFmtId="0" fontId="55" fillId="0" borderId="9" xfId="61" applyNumberFormat="1" applyFont="1" applyFill="1" applyBorder="1" applyAlignment="1">
      <alignment vertical="center"/>
    </xf>
    <xf numFmtId="0" fontId="20" fillId="0" borderId="0" xfId="61" applyNumberFormat="1" applyFont="1" applyFill="1" applyBorder="1" applyAlignment="1">
      <alignment vertical="center"/>
    </xf>
    <xf numFmtId="0" fontId="20" fillId="0" borderId="0" xfId="0" applyNumberFormat="1" applyFont="1" applyFill="1" applyBorder="1" applyAlignment="1"/>
    <xf numFmtId="3" fontId="20" fillId="0" borderId="0" xfId="61" applyNumberFormat="1" applyFont="1" applyFill="1" applyBorder="1" applyAlignment="1">
      <alignment horizontal="center"/>
    </xf>
    <xf numFmtId="3" fontId="20" fillId="0" borderId="0" xfId="61" applyNumberFormat="1" applyFont="1" applyAlignment="1"/>
    <xf numFmtId="0" fontId="9" fillId="0" borderId="0" xfId="69" applyNumberFormat="1" applyFont="1" applyFill="1" applyBorder="1" applyAlignment="1"/>
    <xf numFmtId="3" fontId="20" fillId="2" borderId="0" xfId="61" applyNumberFormat="1" applyFont="1" applyFill="1" applyAlignment="1"/>
    <xf numFmtId="0" fontId="42" fillId="0" borderId="0" xfId="6" applyNumberFormat="1" applyFont="1" applyFill="1" applyAlignment="1">
      <alignment horizontal="right"/>
    </xf>
    <xf numFmtId="0" fontId="9" fillId="0" borderId="0" xfId="90" applyNumberFormat="1" applyFont="1" applyFill="1" applyBorder="1" applyAlignment="1"/>
    <xf numFmtId="0" fontId="26" fillId="0" borderId="0" xfId="61" applyNumberFormat="1" applyFont="1" applyAlignment="1"/>
    <xf numFmtId="0" fontId="20" fillId="0" borderId="0" xfId="61" applyNumberFormat="1" applyFont="1" applyFill="1" applyAlignment="1">
      <alignment horizontal="right" vertical="top"/>
    </xf>
    <xf numFmtId="0" fontId="36" fillId="0" borderId="1" xfId="6" applyNumberFormat="1" applyFont="1" applyFill="1" applyBorder="1" applyAlignment="1">
      <alignment horizontal="center"/>
    </xf>
    <xf numFmtId="0" fontId="36" fillId="19" borderId="1" xfId="6" applyNumberFormat="1" applyFont="1" applyFill="1" applyBorder="1" applyAlignment="1">
      <alignment horizontal="center"/>
    </xf>
    <xf numFmtId="0" fontId="36" fillId="2" borderId="1" xfId="61" applyNumberFormat="1" applyFont="1" applyFill="1" applyBorder="1" applyAlignment="1">
      <alignment horizontal="center"/>
    </xf>
    <xf numFmtId="0" fontId="36" fillId="15" borderId="1" xfId="61" applyNumberFormat="1" applyFont="1" applyFill="1" applyBorder="1" applyAlignment="1">
      <alignment horizontal="center"/>
    </xf>
    <xf numFmtId="0" fontId="36" fillId="0" borderId="0" xfId="61" applyNumberFormat="1" applyFont="1" applyBorder="1" applyAlignment="1">
      <alignment horizontal="center"/>
    </xf>
    <xf numFmtId="0" fontId="36" fillId="9" borderId="1" xfId="6" applyNumberFormat="1" applyFont="1" applyFill="1" applyBorder="1" applyAlignment="1">
      <alignment horizontal="center"/>
    </xf>
    <xf numFmtId="0" fontId="36" fillId="0" borderId="1" xfId="61" applyNumberFormat="1" applyFont="1" applyFill="1" applyBorder="1" applyAlignment="1">
      <alignment horizontal="center"/>
    </xf>
    <xf numFmtId="0" fontId="36" fillId="16" borderId="1" xfId="61" applyNumberFormat="1" applyFont="1" applyFill="1" applyBorder="1" applyAlignment="1">
      <alignment horizontal="center"/>
    </xf>
    <xf numFmtId="0" fontId="36" fillId="7" borderId="1" xfId="61" applyNumberFormat="1" applyFont="1" applyFill="1" applyBorder="1" applyAlignment="1">
      <alignment horizontal="center"/>
    </xf>
    <xf numFmtId="0" fontId="36" fillId="13" borderId="1" xfId="61" applyNumberFormat="1" applyFont="1" applyFill="1" applyBorder="1" applyAlignment="1">
      <alignment horizontal="center"/>
    </xf>
    <xf numFmtId="0" fontId="20" fillId="15" borderId="1" xfId="61" applyNumberFormat="1" applyFont="1" applyFill="1" applyBorder="1" applyAlignment="1">
      <alignment horizontal="center"/>
    </xf>
    <xf numFmtId="0" fontId="20" fillId="2" borderId="1" xfId="61" applyNumberFormat="1" applyFont="1" applyFill="1" applyBorder="1" applyAlignment="1">
      <alignment horizontal="center"/>
    </xf>
    <xf numFmtId="0" fontId="20" fillId="0" borderId="0" xfId="61" applyNumberFormat="1" applyFont="1" applyBorder="1" applyAlignment="1">
      <alignment horizontal="center"/>
    </xf>
    <xf numFmtId="0" fontId="20" fillId="19" borderId="1" xfId="6" applyNumberFormat="1" applyFont="1" applyFill="1" applyBorder="1" applyAlignment="1">
      <alignment horizontal="center"/>
    </xf>
    <xf numFmtId="0" fontId="20" fillId="13" borderId="1" xfId="61" applyNumberFormat="1" applyFont="1" applyFill="1" applyBorder="1" applyAlignment="1">
      <alignment horizontal="center"/>
    </xf>
    <xf numFmtId="0" fontId="9" fillId="15" borderId="1" xfId="61" applyNumberFormat="1" applyFont="1" applyFill="1" applyBorder="1" applyAlignment="1">
      <alignment horizontal="center"/>
    </xf>
    <xf numFmtId="0" fontId="20" fillId="11" borderId="110" xfId="61" applyNumberFormat="1" applyFont="1" applyFill="1" applyBorder="1" applyAlignment="1">
      <alignment horizontal="center"/>
    </xf>
    <xf numFmtId="0" fontId="9" fillId="10" borderId="110" xfId="61" applyNumberFormat="1" applyFont="1" applyFill="1" applyBorder="1" applyAlignment="1">
      <alignment horizontal="center"/>
    </xf>
    <xf numFmtId="0" fontId="9" fillId="10" borderId="113" xfId="61" applyNumberFormat="1" applyFont="1" applyFill="1" applyBorder="1" applyAlignment="1">
      <alignment horizontal="center"/>
    </xf>
    <xf numFmtId="0" fontId="55" fillId="20" borderId="1" xfId="61" applyNumberFormat="1" applyFont="1" applyFill="1" applyBorder="1" applyAlignment="1">
      <alignment horizontal="center"/>
    </xf>
    <xf numFmtId="0" fontId="20" fillId="0" borderId="0" xfId="61" applyNumberFormat="1" applyFont="1" applyFill="1" applyBorder="1" applyAlignment="1">
      <alignment horizontal="center"/>
    </xf>
    <xf numFmtId="0" fontId="9" fillId="5" borderId="111" xfId="61" applyNumberFormat="1" applyFont="1" applyFill="1" applyBorder="1" applyAlignment="1" quotePrefix="1"/>
    <xf numFmtId="0" fontId="36" fillId="0" borderId="113" xfId="0" applyNumberFormat="1" applyFont="1" applyFill="1" applyBorder="1" applyAlignment="1" quotePrefix="1"/>
    <xf numFmtId="0" fontId="36" fillId="19" borderId="1" xfId="0" applyNumberFormat="1" applyFont="1" applyFill="1" applyBorder="1" applyAlignment="1" quotePrefix="1"/>
    <xf numFmtId="0" fontId="36" fillId="16" borderId="1" xfId="6" applyNumberFormat="1" applyFont="1" applyFill="1" applyBorder="1" applyAlignment="1" quotePrefix="1"/>
    <xf numFmtId="0" fontId="9" fillId="9" borderId="0" xfId="61" applyNumberFormat="1" applyFont="1" applyFill="1" applyAlignment="1" quotePrefix="1"/>
    <xf numFmtId="0" fontId="9" fillId="9" borderId="0" xfId="61" applyNumberFormat="1" applyFont="1" applyFill="1" applyBorder="1" applyAlignment="1" quotePrefix="1"/>
    <xf numFmtId="0" fontId="9" fillId="13" borderId="0" xfId="61" applyNumberFormat="1" applyFont="1" applyFill="1" applyBorder="1" applyAlignment="1" quotePrefix="1"/>
    <xf numFmtId="0" fontId="9" fillId="13" borderId="34" xfId="61" applyNumberFormat="1" applyFont="1" applyFill="1" applyBorder="1" applyAlignment="1" quotePrefix="1"/>
  </cellXfs>
  <cellStyles count="105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  <cellStyle name="Hyperlink 2" xfId="49"/>
    <cellStyle name="Hyperlink 2 2" xfId="50"/>
    <cellStyle name="Hyperlink 2 2 2" xfId="51"/>
    <cellStyle name="Hyperlink 3" xfId="52"/>
    <cellStyle name="Hyperlink 3 2" xfId="53"/>
    <cellStyle name="Hyperlink 4" xfId="54"/>
    <cellStyle name="Hyperlink 5" xfId="55"/>
    <cellStyle name="Normal 10" xfId="56"/>
    <cellStyle name="Normal 11" xfId="57"/>
    <cellStyle name="Normal 12" xfId="58"/>
    <cellStyle name="Normal 13" xfId="59"/>
    <cellStyle name="Normal 14" xfId="60"/>
    <cellStyle name="Normal 2" xfId="61"/>
    <cellStyle name="Normal 2 2" xfId="62"/>
    <cellStyle name="Normal 2 2 2" xfId="63"/>
    <cellStyle name="Normal 2 2 2 2" xfId="64"/>
    <cellStyle name="Normal 2 2 2 2 2" xfId="65"/>
    <cellStyle name="Normal 2 2 2 2 3" xfId="66"/>
    <cellStyle name="Normal 2 2 3" xfId="67"/>
    <cellStyle name="Normal 2 2 4" xfId="68"/>
    <cellStyle name="Normal 2 3" xfId="69"/>
    <cellStyle name="Normal 2 3 2" xfId="70"/>
    <cellStyle name="Normal 2 3 2 2" xfId="71"/>
    <cellStyle name="Normal 2 4" xfId="72"/>
    <cellStyle name="Normal 2 4 2" xfId="73"/>
    <cellStyle name="Normal 2 5" xfId="74"/>
    <cellStyle name="Normal 2 5 2" xfId="75"/>
    <cellStyle name="Normal 2 5 2 2" xfId="76"/>
    <cellStyle name="Normal 2 5 3" xfId="77"/>
    <cellStyle name="Normal 2 6" xfId="78"/>
    <cellStyle name="Normal 2 7" xfId="79"/>
    <cellStyle name="Normal 3" xfId="80"/>
    <cellStyle name="Normal 3 2" xfId="81"/>
    <cellStyle name="Normal 3 2 2" xfId="82"/>
    <cellStyle name="Normal 3 2 3" xfId="83"/>
    <cellStyle name="Normal 3 3" xfId="84"/>
    <cellStyle name="Normal 3 3 2" xfId="85"/>
    <cellStyle name="Normal 3 4" xfId="86"/>
    <cellStyle name="Normal 4" xfId="87"/>
    <cellStyle name="Normal 4 2" xfId="88"/>
    <cellStyle name="Normal 4 3" xfId="89"/>
    <cellStyle name="Normal 5" xfId="90"/>
    <cellStyle name="Normal 5 2" xfId="91"/>
    <cellStyle name="Normal 5 3" xfId="92"/>
    <cellStyle name="Normal 5 3 2" xfId="93"/>
    <cellStyle name="Normal 5 4" xfId="94"/>
    <cellStyle name="Normal 6" xfId="95"/>
    <cellStyle name="Normal 6 2" xfId="96"/>
    <cellStyle name="Normal 6 2 2" xfId="97"/>
    <cellStyle name="Normal 6 2 2 2" xfId="98"/>
    <cellStyle name="Normal 6 3" xfId="99"/>
    <cellStyle name="Normal 6 4" xfId="100"/>
    <cellStyle name="Normal 7" xfId="101"/>
    <cellStyle name="Normal 8" xfId="102"/>
    <cellStyle name="Normal 9" xfId="103"/>
    <cellStyle name="WinCalendar_BlankCells_35" xfId="104"/>
  </cellStyles>
  <dxfs count="32">
    <dxf>
      <font>
        <b val="1"/>
        <i val="0"/>
        <color rgb="FFFF0000"/>
      </font>
    </dxf>
    <dxf>
      <font>
        <b val="1"/>
        <i val="0"/>
      </font>
    </dxf>
    <dxf>
      <font>
        <color theme="4" tint="-0.249946592608417"/>
      </font>
    </dxf>
    <dxf>
      <fill>
        <patternFill patternType="solid">
          <bgColor rgb="FFFFCC99"/>
        </patternFill>
      </fill>
    </dxf>
    <dxf>
      <fill>
        <patternFill patternType="solid">
          <bgColor theme="0" tint="-0.14996795556505"/>
        </patternFill>
      </fill>
    </dxf>
    <dxf>
      <fill>
        <patternFill patternType="solid">
          <bgColor rgb="FFFFFF99"/>
        </patternFill>
      </fill>
    </dxf>
    <dxf>
      <font>
        <color rgb="FFCC0000"/>
      </font>
    </dxf>
    <dxf>
      <fill>
        <patternFill patternType="solid">
          <bgColor rgb="FFCCFFC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1"/>
        <i val="0"/>
      </font>
      <fill>
        <patternFill patternType="solid">
          <bgColor rgb="FFFFFF99"/>
        </patternFill>
      </fill>
    </dxf>
    <dxf>
      <fill>
        <patternFill patternType="solid">
          <bgColor theme="0" tint="-0.14996795556505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theme="9" tint="0.599963377788629"/>
        </patternFill>
      </fill>
    </dxf>
    <dxf>
      <fill>
        <patternFill patternType="solid">
          <bgColor rgb="FFFFFF99"/>
        </patternFill>
      </fill>
    </dxf>
    <dxf>
      <font>
        <color theme="0"/>
      </font>
    </dxf>
    <dxf>
      <font>
        <b val="1"/>
        <i val="0"/>
      </font>
    </dxf>
    <dxf>
      <font>
        <strike val="1"/>
        <color rgb="FF00B0F0"/>
      </font>
    </dxf>
    <dxf>
      <font>
        <color rgb="FF0070C0"/>
      </font>
    </dxf>
    <dxf>
      <font>
        <b val="1"/>
        <i val="0"/>
      </font>
      <fill>
        <patternFill patternType="solid">
          <bgColor rgb="FFFFFF99"/>
        </patternFill>
      </fill>
    </dxf>
    <dxf>
      <fill>
        <patternFill patternType="none"/>
      </fill>
    </dxf>
    <dxf>
      <font>
        <b val="1"/>
        <i val="0"/>
      </font>
    </dxf>
    <dxf>
      <fill>
        <patternFill patternType="none"/>
      </fill>
    </dxf>
    <dxf>
      <font>
        <b val="1"/>
        <i val="0"/>
        <color rgb="FFFF0000"/>
      </font>
    </dxf>
    <dxf>
      <fill>
        <patternFill patternType="solid">
          <bgColor rgb="FFFFCCCC"/>
        </patternFill>
      </fill>
    </dxf>
    <dxf>
      <fill>
        <patternFill patternType="solid">
          <bgColor rgb="FFFF0000"/>
        </patternFill>
      </fill>
    </dxf>
    <dxf>
      <font>
        <color rgb="FF00B050"/>
      </font>
    </dxf>
    <dxf>
      <font>
        <color rgb="FF9C0006"/>
      </font>
      <fill>
        <patternFill patternType="solid">
          <bgColor rgb="FFFFC7CE"/>
        </patternFill>
      </fill>
    </dxf>
    <dxf>
      <font>
        <color theme="1"/>
      </font>
      <fill>
        <patternFill patternType="none"/>
      </fill>
    </dxf>
    <dxf>
      <font>
        <b val="1"/>
        <i val="0"/>
      </font>
      <fill>
        <patternFill patternType="solid">
          <bgColor rgb="FFFFFF99"/>
        </patternFill>
      </fill>
    </dxf>
    <dxf>
      <fill>
        <patternFill patternType="solid">
          <bgColor theme="0" tint="-0.14996795556505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theme="0" tint="-0.0499893185216834"/>
        </patternFill>
      </fill>
    </dxf>
  </dxfs>
  <tableStyles count="0" defaultTableStyle="TableStyleMedium2" defaultPivotStyle="PivotStyleLight16"/>
  <colors>
    <mruColors>
      <color rgb="0099CCFF"/>
      <color rgb="00CCECFF"/>
      <color rgb="000000FF"/>
      <color rgb="00CCFFCC"/>
      <color rgb="00000000"/>
      <color rgb="00FDE9D9"/>
      <color rgb="00A6A6A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4" Type="http://schemas.openxmlformats.org/officeDocument/2006/relationships/image" Target="../media/image4.png"/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9" Type="http://schemas.openxmlformats.org/officeDocument/2006/relationships/image" Target="../media/image12.png"/><Relationship Id="rId8" Type="http://schemas.openxmlformats.org/officeDocument/2006/relationships/image" Target="../media/image11.png"/><Relationship Id="rId7" Type="http://schemas.openxmlformats.org/officeDocument/2006/relationships/image" Target="../media/image10.png"/><Relationship Id="rId6" Type="http://schemas.openxmlformats.org/officeDocument/2006/relationships/image" Target="../media/image9.png"/><Relationship Id="rId5" Type="http://schemas.openxmlformats.org/officeDocument/2006/relationships/image" Target="../media/image8.png"/><Relationship Id="rId4" Type="http://schemas.openxmlformats.org/officeDocument/2006/relationships/image" Target="../media/image7.png"/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2" Type="http://schemas.openxmlformats.org/officeDocument/2006/relationships/image" Target="../media/image4.png"/><Relationship Id="rId11" Type="http://schemas.openxmlformats.org/officeDocument/2006/relationships/image" Target="../media/image14.png"/><Relationship Id="rId10" Type="http://schemas.openxmlformats.org/officeDocument/2006/relationships/image" Target="../media/image13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5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19050</xdr:colOff>
      <xdr:row>0</xdr:row>
      <xdr:rowOff>19050</xdr:rowOff>
    </xdr:from>
    <xdr:to>
      <xdr:col>0</xdr:col>
      <xdr:colOff>260250</xdr:colOff>
      <xdr:row>2</xdr:row>
      <xdr:rowOff>4138</xdr:rowOff>
    </xdr:to>
    <xdr:pic>
      <xdr:nvPicPr>
        <xdr:cNvPr id="2" name="Picture 1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19050"/>
          <a:ext cx="240665" cy="297180"/>
        </a:xfrm>
        <a:prstGeom prst="rect">
          <a:avLst/>
        </a:prstGeom>
      </xdr:spPr>
    </xdr:pic>
    <xdr:clientData/>
  </xdr:twoCellAnchor>
  <xdr:twoCellAnchor editAs="oneCell">
    <xdr:from>
      <xdr:col>2</xdr:col>
      <xdr:colOff>1010920</xdr:colOff>
      <xdr:row>22</xdr:row>
      <xdr:rowOff>8890</xdr:rowOff>
    </xdr:from>
    <xdr:to>
      <xdr:col>2</xdr:col>
      <xdr:colOff>1199515</xdr:colOff>
      <xdr:row>22</xdr:row>
      <xdr:rowOff>134620</xdr:rowOff>
    </xdr:to>
    <xdr:pic>
      <xdr:nvPicPr>
        <xdr:cNvPr id="8" name="Picture 7" descr="eesti-lipp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289175" y="3365500"/>
          <a:ext cx="188595" cy="125730"/>
        </a:xfrm>
        <a:prstGeom prst="rect">
          <a:avLst/>
        </a:prstGeom>
      </xdr:spPr>
    </xdr:pic>
    <xdr:clientData/>
  </xdr:twoCellAnchor>
  <xdr:oneCellAnchor>
    <xdr:from>
      <xdr:col>2</xdr:col>
      <xdr:colOff>1344930</xdr:colOff>
      <xdr:row>5</xdr:row>
      <xdr:rowOff>10160</xdr:rowOff>
    </xdr:from>
    <xdr:ext cx="138430" cy="146685"/>
    <xdr:pic>
      <xdr:nvPicPr>
        <xdr:cNvPr id="13" name="Picture 12"/>
        <xdr:cNvPicPr>
          <a:picLocks noChangeAspect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23185" y="810260"/>
          <a:ext cx="138430" cy="146685"/>
        </a:xfrm>
        <a:prstGeom prst="rect">
          <a:avLst/>
        </a:prstGeom>
      </xdr:spPr>
    </xdr:pic>
    <xdr:clientData/>
  </xdr:oneCellAnchor>
  <xdr:twoCellAnchor editAs="oneCell">
    <xdr:from>
      <xdr:col>2</xdr:col>
      <xdr:colOff>1008380</xdr:colOff>
      <xdr:row>23</xdr:row>
      <xdr:rowOff>6985</xdr:rowOff>
    </xdr:from>
    <xdr:to>
      <xdr:col>2</xdr:col>
      <xdr:colOff>1196975</xdr:colOff>
      <xdr:row>23</xdr:row>
      <xdr:rowOff>132715</xdr:rowOff>
    </xdr:to>
    <xdr:pic>
      <xdr:nvPicPr>
        <xdr:cNvPr id="14" name="Picture 13" descr="eesti-lipp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286635" y="3519805"/>
          <a:ext cx="188595" cy="125730"/>
        </a:xfrm>
        <a:prstGeom prst="rect">
          <a:avLst/>
        </a:prstGeom>
      </xdr:spPr>
    </xdr:pic>
    <xdr:clientData/>
  </xdr:twoCellAnchor>
  <xdr:twoCellAnchor editAs="oneCell">
    <xdr:from>
      <xdr:col>2</xdr:col>
      <xdr:colOff>983615</xdr:colOff>
      <xdr:row>8</xdr:row>
      <xdr:rowOff>8255</xdr:rowOff>
    </xdr:from>
    <xdr:to>
      <xdr:col>2</xdr:col>
      <xdr:colOff>1097915</xdr:colOff>
      <xdr:row>8</xdr:row>
      <xdr:rowOff>156210</xdr:rowOff>
    </xdr:to>
    <xdr:pic>
      <xdr:nvPicPr>
        <xdr:cNvPr id="15" name="Picture 14" descr="i-viru-vapp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261870" y="1276985"/>
          <a:ext cx="114300" cy="147955"/>
        </a:xfrm>
        <a:prstGeom prst="rect">
          <a:avLst/>
        </a:prstGeom>
      </xdr:spPr>
    </xdr:pic>
    <xdr:clientData/>
  </xdr:twoCellAnchor>
  <xdr:twoCellAnchor editAs="oneCell">
    <xdr:from>
      <xdr:col>2</xdr:col>
      <xdr:colOff>983615</xdr:colOff>
      <xdr:row>25</xdr:row>
      <xdr:rowOff>8255</xdr:rowOff>
    </xdr:from>
    <xdr:to>
      <xdr:col>2</xdr:col>
      <xdr:colOff>1097915</xdr:colOff>
      <xdr:row>26</xdr:row>
      <xdr:rowOff>0</xdr:rowOff>
    </xdr:to>
    <xdr:pic>
      <xdr:nvPicPr>
        <xdr:cNvPr id="16" name="Picture 15" descr="i-viru-vapp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261870" y="3833495"/>
          <a:ext cx="114300" cy="147955"/>
        </a:xfrm>
        <a:prstGeom prst="rect">
          <a:avLst/>
        </a:prstGeom>
      </xdr:spPr>
    </xdr:pic>
    <xdr:clientData/>
  </xdr:twoCellAnchor>
  <xdr:twoCellAnchor editAs="oneCell">
    <xdr:from>
      <xdr:col>2</xdr:col>
      <xdr:colOff>983615</xdr:colOff>
      <xdr:row>27</xdr:row>
      <xdr:rowOff>8255</xdr:rowOff>
    </xdr:from>
    <xdr:to>
      <xdr:col>2</xdr:col>
      <xdr:colOff>1097915</xdr:colOff>
      <xdr:row>27</xdr:row>
      <xdr:rowOff>156210</xdr:rowOff>
    </xdr:to>
    <xdr:pic>
      <xdr:nvPicPr>
        <xdr:cNvPr id="17" name="Picture 16" descr="i-viru-vapp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261870" y="4145915"/>
          <a:ext cx="114300" cy="147955"/>
        </a:xfrm>
        <a:prstGeom prst="rect">
          <a:avLst/>
        </a:prstGeom>
      </xdr:spPr>
    </xdr:pic>
    <xdr:clientData/>
  </xdr:twoCellAnchor>
  <xdr:twoCellAnchor editAs="oneCell">
    <xdr:from>
      <xdr:col>2</xdr:col>
      <xdr:colOff>983615</xdr:colOff>
      <xdr:row>30</xdr:row>
      <xdr:rowOff>8255</xdr:rowOff>
    </xdr:from>
    <xdr:to>
      <xdr:col>2</xdr:col>
      <xdr:colOff>1097915</xdr:colOff>
      <xdr:row>31</xdr:row>
      <xdr:rowOff>0</xdr:rowOff>
    </xdr:to>
    <xdr:pic>
      <xdr:nvPicPr>
        <xdr:cNvPr id="18" name="Picture 17" descr="i-viru-vapp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261870" y="4633595"/>
          <a:ext cx="114300" cy="147955"/>
        </a:xfrm>
        <a:prstGeom prst="rect">
          <a:avLst/>
        </a:prstGeom>
      </xdr:spPr>
    </xdr:pic>
    <xdr:clientData/>
  </xdr:twoCellAnchor>
  <xdr:twoCellAnchor editAs="oneCell">
    <xdr:from>
      <xdr:col>2</xdr:col>
      <xdr:colOff>983615</xdr:colOff>
      <xdr:row>30</xdr:row>
      <xdr:rowOff>8255</xdr:rowOff>
    </xdr:from>
    <xdr:to>
      <xdr:col>2</xdr:col>
      <xdr:colOff>1097915</xdr:colOff>
      <xdr:row>31</xdr:row>
      <xdr:rowOff>0</xdr:rowOff>
    </xdr:to>
    <xdr:pic>
      <xdr:nvPicPr>
        <xdr:cNvPr id="19" name="Picture 18" descr="i-viru-vapp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261870" y="4633595"/>
          <a:ext cx="114300" cy="147955"/>
        </a:xfrm>
        <a:prstGeom prst="rect">
          <a:avLst/>
        </a:prstGeom>
      </xdr:spPr>
    </xdr:pic>
    <xdr:clientData/>
  </xdr:twoCellAnchor>
  <xdr:twoCellAnchor editAs="oneCell">
    <xdr:from>
      <xdr:col>2</xdr:col>
      <xdr:colOff>983615</xdr:colOff>
      <xdr:row>32</xdr:row>
      <xdr:rowOff>8255</xdr:rowOff>
    </xdr:from>
    <xdr:to>
      <xdr:col>2</xdr:col>
      <xdr:colOff>1097915</xdr:colOff>
      <xdr:row>33</xdr:row>
      <xdr:rowOff>0</xdr:rowOff>
    </xdr:to>
    <xdr:pic>
      <xdr:nvPicPr>
        <xdr:cNvPr id="20" name="Picture 19" descr="i-viru-vapp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261870" y="4946015"/>
          <a:ext cx="114300" cy="147955"/>
        </a:xfrm>
        <a:prstGeom prst="rect">
          <a:avLst/>
        </a:prstGeom>
      </xdr:spPr>
    </xdr:pic>
    <xdr:clientData/>
  </xdr:twoCellAnchor>
  <xdr:oneCellAnchor>
    <xdr:from>
      <xdr:col>2</xdr:col>
      <xdr:colOff>1344930</xdr:colOff>
      <xdr:row>11</xdr:row>
      <xdr:rowOff>10160</xdr:rowOff>
    </xdr:from>
    <xdr:ext cx="138430" cy="146685"/>
    <xdr:pic>
      <xdr:nvPicPr>
        <xdr:cNvPr id="21" name="Picture 20"/>
        <xdr:cNvPicPr>
          <a:picLocks noChangeAspect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23185" y="1766570"/>
          <a:ext cx="138430" cy="146685"/>
        </a:xfrm>
        <a:prstGeom prst="rect">
          <a:avLst/>
        </a:prstGeom>
      </xdr:spPr>
    </xdr:pic>
    <xdr:clientData/>
  </xdr:oneCellAnchor>
  <xdr:oneCellAnchor>
    <xdr:from>
      <xdr:col>2</xdr:col>
      <xdr:colOff>1344930</xdr:colOff>
      <xdr:row>31</xdr:row>
      <xdr:rowOff>10160</xdr:rowOff>
    </xdr:from>
    <xdr:ext cx="138430" cy="146685"/>
    <xdr:pic>
      <xdr:nvPicPr>
        <xdr:cNvPr id="22" name="Picture 21"/>
        <xdr:cNvPicPr>
          <a:picLocks noChangeAspect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23185" y="4791710"/>
          <a:ext cx="138430" cy="146685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19050</xdr:colOff>
      <xdr:row>0</xdr:row>
      <xdr:rowOff>19051</xdr:rowOff>
    </xdr:from>
    <xdr:to>
      <xdr:col>0</xdr:col>
      <xdr:colOff>252307</xdr:colOff>
      <xdr:row>1</xdr:row>
      <xdr:rowOff>159526</xdr:rowOff>
    </xdr:to>
    <xdr:pic>
      <xdr:nvPicPr>
        <xdr:cNvPr id="2" name="Picture 1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19050"/>
          <a:ext cx="233045" cy="296545"/>
        </a:xfrm>
        <a:prstGeom prst="rect">
          <a:avLst/>
        </a:prstGeom>
      </xdr:spPr>
    </xdr:pic>
    <xdr:clientData/>
  </xdr:twoCellAnchor>
  <xdr:oneCellAnchor>
    <xdr:from>
      <xdr:col>12</xdr:col>
      <xdr:colOff>1151255</xdr:colOff>
      <xdr:row>8</xdr:row>
      <xdr:rowOff>24130</xdr:rowOff>
    </xdr:from>
    <xdr:ext cx="195851" cy="210285"/>
    <xdr:pic>
      <xdr:nvPicPr>
        <xdr:cNvPr id="41" name="Picture 40"/>
        <xdr:cNvPicPr>
          <a:picLocks noChangeAspect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08115" y="1302385"/>
          <a:ext cx="195580" cy="210185"/>
        </a:xfrm>
        <a:prstGeom prst="rect">
          <a:avLst/>
        </a:prstGeom>
      </xdr:spPr>
    </xdr:pic>
    <xdr:clientData/>
  </xdr:oneCellAnchor>
  <xdr:oneCellAnchor>
    <xdr:from>
      <xdr:col>12</xdr:col>
      <xdr:colOff>1407194</xdr:colOff>
      <xdr:row>91</xdr:row>
      <xdr:rowOff>15040</xdr:rowOff>
    </xdr:from>
    <xdr:ext cx="195851" cy="210285"/>
    <xdr:pic>
      <xdr:nvPicPr>
        <xdr:cNvPr id="42" name="Picture 41"/>
        <xdr:cNvPicPr>
          <a:picLocks noChangeAspect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64020" y="14486890"/>
          <a:ext cx="195580" cy="210185"/>
        </a:xfrm>
        <a:prstGeom prst="rect">
          <a:avLst/>
        </a:prstGeom>
      </xdr:spPr>
    </xdr:pic>
    <xdr:clientData/>
  </xdr:oneCellAnchor>
  <xdr:twoCellAnchor editAs="oneCell">
    <xdr:from>
      <xdr:col>12</xdr:col>
      <xdr:colOff>1152525</xdr:colOff>
      <xdr:row>16</xdr:row>
      <xdr:rowOff>57150</xdr:rowOff>
    </xdr:from>
    <xdr:to>
      <xdr:col>12</xdr:col>
      <xdr:colOff>1378752</xdr:colOff>
      <xdr:row>18</xdr:row>
      <xdr:rowOff>17700</xdr:rowOff>
    </xdr:to>
    <xdr:pic>
      <xdr:nvPicPr>
        <xdr:cNvPr id="16" name="Picture 15"/>
        <xdr:cNvPicPr>
          <a:picLocks noChangeAspect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09385" y="2613660"/>
          <a:ext cx="226060" cy="272415"/>
        </a:xfrm>
        <a:prstGeom prst="rect">
          <a:avLst/>
        </a:prstGeom>
      </xdr:spPr>
    </xdr:pic>
    <xdr:clientData/>
  </xdr:twoCellAnchor>
  <xdr:oneCellAnchor>
    <xdr:from>
      <xdr:col>12</xdr:col>
      <xdr:colOff>1152525</xdr:colOff>
      <xdr:row>96</xdr:row>
      <xdr:rowOff>57150</xdr:rowOff>
    </xdr:from>
    <xdr:ext cx="226227" cy="272970"/>
    <xdr:pic>
      <xdr:nvPicPr>
        <xdr:cNvPr id="47" name="Picture 46"/>
        <xdr:cNvPicPr>
          <a:picLocks noChangeAspect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09385" y="15329535"/>
          <a:ext cx="226060" cy="272415"/>
        </a:xfrm>
        <a:prstGeom prst="rect">
          <a:avLst/>
        </a:prstGeom>
      </xdr:spPr>
    </xdr:pic>
    <xdr:clientData/>
  </xdr:oneCellAnchor>
  <xdr:oneCellAnchor>
    <xdr:from>
      <xdr:col>12</xdr:col>
      <xdr:colOff>1152525</xdr:colOff>
      <xdr:row>66</xdr:row>
      <xdr:rowOff>57150</xdr:rowOff>
    </xdr:from>
    <xdr:ext cx="226227" cy="272970"/>
    <xdr:pic>
      <xdr:nvPicPr>
        <xdr:cNvPr id="48" name="Picture 47"/>
        <xdr:cNvPicPr>
          <a:picLocks noChangeAspect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09385" y="10557510"/>
          <a:ext cx="226060" cy="272415"/>
        </a:xfrm>
        <a:prstGeom prst="rect">
          <a:avLst/>
        </a:prstGeom>
      </xdr:spPr>
    </xdr:pic>
    <xdr:clientData/>
  </xdr:oneCellAnchor>
  <xdr:oneCellAnchor>
    <xdr:from>
      <xdr:col>12</xdr:col>
      <xdr:colOff>1152525</xdr:colOff>
      <xdr:row>76</xdr:row>
      <xdr:rowOff>57150</xdr:rowOff>
    </xdr:from>
    <xdr:ext cx="226227" cy="272970"/>
    <xdr:pic>
      <xdr:nvPicPr>
        <xdr:cNvPr id="49" name="Picture 48"/>
        <xdr:cNvPicPr>
          <a:picLocks noChangeAspect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09385" y="12138660"/>
          <a:ext cx="226060" cy="272415"/>
        </a:xfrm>
        <a:prstGeom prst="rect">
          <a:avLst/>
        </a:prstGeom>
      </xdr:spPr>
    </xdr:pic>
    <xdr:clientData/>
  </xdr:oneCellAnchor>
  <xdr:oneCellAnchor>
    <xdr:from>
      <xdr:col>12</xdr:col>
      <xdr:colOff>1152525</xdr:colOff>
      <xdr:row>87</xdr:row>
      <xdr:rowOff>57150</xdr:rowOff>
    </xdr:from>
    <xdr:ext cx="226227" cy="272970"/>
    <xdr:pic>
      <xdr:nvPicPr>
        <xdr:cNvPr id="50" name="Picture 49"/>
        <xdr:cNvPicPr>
          <a:picLocks noChangeAspect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09385" y="13895070"/>
          <a:ext cx="226060" cy="272415"/>
        </a:xfrm>
        <a:prstGeom prst="rect">
          <a:avLst/>
        </a:prstGeom>
      </xdr:spPr>
    </xdr:pic>
    <xdr:clientData/>
  </xdr:oneCellAnchor>
  <xdr:twoCellAnchor editAs="oneCell">
    <xdr:from>
      <xdr:col>6</xdr:col>
      <xdr:colOff>600075</xdr:colOff>
      <xdr:row>36</xdr:row>
      <xdr:rowOff>2113</xdr:rowOff>
    </xdr:from>
    <xdr:to>
      <xdr:col>6</xdr:col>
      <xdr:colOff>933450</xdr:colOff>
      <xdr:row>37</xdr:row>
      <xdr:rowOff>208</xdr:rowOff>
    </xdr:to>
    <xdr:pic>
      <xdr:nvPicPr>
        <xdr:cNvPr id="18" name="Picture 17"/>
        <xdr:cNvPicPr>
          <a:picLocks noChangeAspect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82850" y="5758815"/>
          <a:ext cx="333375" cy="154305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49</xdr:row>
      <xdr:rowOff>0</xdr:rowOff>
    </xdr:from>
    <xdr:to>
      <xdr:col>9</xdr:col>
      <xdr:colOff>19050</xdr:colOff>
      <xdr:row>50</xdr:row>
      <xdr:rowOff>3810</xdr:rowOff>
    </xdr:to>
    <xdr:pic>
      <xdr:nvPicPr>
        <xdr:cNvPr id="44" name="Picture 43"/>
        <xdr:cNvPicPr>
          <a:picLocks noChangeAspect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01340" y="7816215"/>
          <a:ext cx="351155" cy="160020"/>
        </a:xfrm>
        <a:prstGeom prst="rect">
          <a:avLst/>
        </a:prstGeom>
      </xdr:spPr>
    </xdr:pic>
    <xdr:clientData/>
  </xdr:twoCellAnchor>
  <xdr:twoCellAnchor editAs="oneCell">
    <xdr:from>
      <xdr:col>10</xdr:col>
      <xdr:colOff>1085850</xdr:colOff>
      <xdr:row>19</xdr:row>
      <xdr:rowOff>57150</xdr:rowOff>
    </xdr:from>
    <xdr:to>
      <xdr:col>10</xdr:col>
      <xdr:colOff>1373850</xdr:colOff>
      <xdr:row>20</xdr:row>
      <xdr:rowOff>88131</xdr:rowOff>
    </xdr:to>
    <xdr:pic>
      <xdr:nvPicPr>
        <xdr:cNvPr id="3" name="Picture 2"/>
        <xdr:cNvPicPr>
          <a:picLocks noChangeAspect="1"/>
        </xdr:cNvPicPr>
      </xdr:nvPicPr>
      <xdr:blipFill>
        <a:blip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30750" y="3091815"/>
          <a:ext cx="287655" cy="186690"/>
        </a:xfrm>
        <a:prstGeom prst="rect">
          <a:avLst/>
        </a:prstGeom>
      </xdr:spPr>
    </xdr:pic>
    <xdr:clientData/>
  </xdr:twoCellAnchor>
  <xdr:twoCellAnchor editAs="oneCell">
    <xdr:from>
      <xdr:col>12</xdr:col>
      <xdr:colOff>1085850</xdr:colOff>
      <xdr:row>19</xdr:row>
      <xdr:rowOff>66675</xdr:rowOff>
    </xdr:from>
    <xdr:to>
      <xdr:col>12</xdr:col>
      <xdr:colOff>1373850</xdr:colOff>
      <xdr:row>20</xdr:row>
      <xdr:rowOff>97656</xdr:rowOff>
    </xdr:to>
    <xdr:pic>
      <xdr:nvPicPr>
        <xdr:cNvPr id="15" name="Picture 14"/>
        <xdr:cNvPicPr>
          <a:picLocks noChangeAspect="1"/>
        </xdr:cNvPicPr>
      </xdr:nvPicPr>
      <xdr:blipFill>
        <a:blip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42710" y="3101340"/>
          <a:ext cx="287655" cy="186690"/>
        </a:xfrm>
        <a:prstGeom prst="rect">
          <a:avLst/>
        </a:prstGeom>
      </xdr:spPr>
    </xdr:pic>
    <xdr:clientData/>
  </xdr:twoCellAnchor>
  <xdr:oneCellAnchor>
    <xdr:from>
      <xdr:col>10</xdr:col>
      <xdr:colOff>1085850</xdr:colOff>
      <xdr:row>27</xdr:row>
      <xdr:rowOff>57150</xdr:rowOff>
    </xdr:from>
    <xdr:ext cx="288000" cy="187191"/>
    <xdr:pic>
      <xdr:nvPicPr>
        <xdr:cNvPr id="17" name="Picture 16"/>
        <xdr:cNvPicPr>
          <a:picLocks noChangeAspect="1"/>
        </xdr:cNvPicPr>
      </xdr:nvPicPr>
      <xdr:blipFill>
        <a:blip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30750" y="4379595"/>
          <a:ext cx="287655" cy="186690"/>
        </a:xfrm>
        <a:prstGeom prst="rect">
          <a:avLst/>
        </a:prstGeom>
      </xdr:spPr>
    </xdr:pic>
    <xdr:clientData/>
  </xdr:oneCellAnchor>
  <xdr:oneCellAnchor>
    <xdr:from>
      <xdr:col>12</xdr:col>
      <xdr:colOff>1085850</xdr:colOff>
      <xdr:row>27</xdr:row>
      <xdr:rowOff>57150</xdr:rowOff>
    </xdr:from>
    <xdr:ext cx="288000" cy="187191"/>
    <xdr:pic>
      <xdr:nvPicPr>
        <xdr:cNvPr id="19" name="Picture 18"/>
        <xdr:cNvPicPr>
          <a:picLocks noChangeAspect="1"/>
        </xdr:cNvPicPr>
      </xdr:nvPicPr>
      <xdr:blipFill>
        <a:blip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42710" y="4379595"/>
          <a:ext cx="287655" cy="186690"/>
        </a:xfrm>
        <a:prstGeom prst="rect">
          <a:avLst/>
        </a:prstGeom>
      </xdr:spPr>
    </xdr:pic>
    <xdr:clientData/>
  </xdr:oneCellAnchor>
  <xdr:oneCellAnchor>
    <xdr:from>
      <xdr:col>10</xdr:col>
      <xdr:colOff>1085850</xdr:colOff>
      <xdr:row>43</xdr:row>
      <xdr:rowOff>57150</xdr:rowOff>
    </xdr:from>
    <xdr:ext cx="288000" cy="187191"/>
    <xdr:pic>
      <xdr:nvPicPr>
        <xdr:cNvPr id="20" name="Picture 19"/>
        <xdr:cNvPicPr>
          <a:picLocks noChangeAspect="1"/>
        </xdr:cNvPicPr>
      </xdr:nvPicPr>
      <xdr:blipFill>
        <a:blip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30750" y="6926580"/>
          <a:ext cx="287655" cy="186690"/>
        </a:xfrm>
        <a:prstGeom prst="rect">
          <a:avLst/>
        </a:prstGeom>
      </xdr:spPr>
    </xdr:pic>
    <xdr:clientData/>
  </xdr:oneCellAnchor>
  <xdr:oneCellAnchor>
    <xdr:from>
      <xdr:col>12</xdr:col>
      <xdr:colOff>1085850</xdr:colOff>
      <xdr:row>43</xdr:row>
      <xdr:rowOff>57150</xdr:rowOff>
    </xdr:from>
    <xdr:ext cx="288000" cy="187191"/>
    <xdr:pic>
      <xdr:nvPicPr>
        <xdr:cNvPr id="21" name="Picture 20"/>
        <xdr:cNvPicPr>
          <a:picLocks noChangeAspect="1"/>
        </xdr:cNvPicPr>
      </xdr:nvPicPr>
      <xdr:blipFill>
        <a:blip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42710" y="6926580"/>
          <a:ext cx="287655" cy="186690"/>
        </a:xfrm>
        <a:prstGeom prst="rect">
          <a:avLst/>
        </a:prstGeom>
      </xdr:spPr>
    </xdr:pic>
    <xdr:clientData/>
  </xdr:oneCellAnchor>
  <xdr:oneCellAnchor>
    <xdr:from>
      <xdr:col>10</xdr:col>
      <xdr:colOff>1085850</xdr:colOff>
      <xdr:row>60</xdr:row>
      <xdr:rowOff>57150</xdr:rowOff>
    </xdr:from>
    <xdr:ext cx="288000" cy="187191"/>
    <xdr:pic>
      <xdr:nvPicPr>
        <xdr:cNvPr id="22" name="Picture 21"/>
        <xdr:cNvPicPr>
          <a:picLocks noChangeAspect="1"/>
        </xdr:cNvPicPr>
      </xdr:nvPicPr>
      <xdr:blipFill>
        <a:blip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30750" y="9610725"/>
          <a:ext cx="287655" cy="186690"/>
        </a:xfrm>
        <a:prstGeom prst="rect">
          <a:avLst/>
        </a:prstGeom>
      </xdr:spPr>
    </xdr:pic>
    <xdr:clientData/>
  </xdr:oneCellAnchor>
  <xdr:oneCellAnchor>
    <xdr:from>
      <xdr:col>12</xdr:col>
      <xdr:colOff>1085850</xdr:colOff>
      <xdr:row>60</xdr:row>
      <xdr:rowOff>57150</xdr:rowOff>
    </xdr:from>
    <xdr:ext cx="288000" cy="187191"/>
    <xdr:pic>
      <xdr:nvPicPr>
        <xdr:cNvPr id="23" name="Picture 22"/>
        <xdr:cNvPicPr>
          <a:picLocks noChangeAspect="1"/>
        </xdr:cNvPicPr>
      </xdr:nvPicPr>
      <xdr:blipFill>
        <a:blip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42710" y="9610725"/>
          <a:ext cx="287655" cy="186690"/>
        </a:xfrm>
        <a:prstGeom prst="rect">
          <a:avLst/>
        </a:prstGeom>
      </xdr:spPr>
    </xdr:pic>
    <xdr:clientData/>
  </xdr:oneCellAnchor>
  <xdr:oneCellAnchor>
    <xdr:from>
      <xdr:col>12</xdr:col>
      <xdr:colOff>1085850</xdr:colOff>
      <xdr:row>60</xdr:row>
      <xdr:rowOff>57150</xdr:rowOff>
    </xdr:from>
    <xdr:ext cx="288000" cy="187191"/>
    <xdr:pic>
      <xdr:nvPicPr>
        <xdr:cNvPr id="24" name="Picture 23"/>
        <xdr:cNvPicPr>
          <a:picLocks noChangeAspect="1"/>
        </xdr:cNvPicPr>
      </xdr:nvPicPr>
      <xdr:blipFill>
        <a:blip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42710" y="9610725"/>
          <a:ext cx="287655" cy="186690"/>
        </a:xfrm>
        <a:prstGeom prst="rect">
          <a:avLst/>
        </a:prstGeom>
      </xdr:spPr>
    </xdr:pic>
    <xdr:clientData/>
  </xdr:oneCellAnchor>
  <xdr:oneCellAnchor>
    <xdr:from>
      <xdr:col>10</xdr:col>
      <xdr:colOff>1085850</xdr:colOff>
      <xdr:row>84</xdr:row>
      <xdr:rowOff>57150</xdr:rowOff>
    </xdr:from>
    <xdr:ext cx="288000" cy="187191"/>
    <xdr:pic>
      <xdr:nvPicPr>
        <xdr:cNvPr id="25" name="Picture 24"/>
        <xdr:cNvPicPr>
          <a:picLocks noChangeAspect="1"/>
        </xdr:cNvPicPr>
      </xdr:nvPicPr>
      <xdr:blipFill>
        <a:blip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30750" y="13416915"/>
          <a:ext cx="287655" cy="186690"/>
        </a:xfrm>
        <a:prstGeom prst="rect">
          <a:avLst/>
        </a:prstGeom>
      </xdr:spPr>
    </xdr:pic>
    <xdr:clientData/>
  </xdr:oneCellAnchor>
  <xdr:oneCellAnchor>
    <xdr:from>
      <xdr:col>12</xdr:col>
      <xdr:colOff>1085850</xdr:colOff>
      <xdr:row>84</xdr:row>
      <xdr:rowOff>57150</xdr:rowOff>
    </xdr:from>
    <xdr:ext cx="288000" cy="187191"/>
    <xdr:pic>
      <xdr:nvPicPr>
        <xdr:cNvPr id="27" name="Picture 26"/>
        <xdr:cNvPicPr>
          <a:picLocks noChangeAspect="1"/>
        </xdr:cNvPicPr>
      </xdr:nvPicPr>
      <xdr:blipFill>
        <a:blip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42710" y="13416915"/>
          <a:ext cx="287655" cy="186690"/>
        </a:xfrm>
        <a:prstGeom prst="rect">
          <a:avLst/>
        </a:prstGeom>
      </xdr:spPr>
    </xdr:pic>
    <xdr:clientData/>
  </xdr:oneCellAnchor>
  <xdr:oneCellAnchor>
    <xdr:from>
      <xdr:col>12</xdr:col>
      <xdr:colOff>1085850</xdr:colOff>
      <xdr:row>93</xdr:row>
      <xdr:rowOff>57150</xdr:rowOff>
    </xdr:from>
    <xdr:ext cx="288000" cy="187191"/>
    <xdr:pic>
      <xdr:nvPicPr>
        <xdr:cNvPr id="28" name="Picture 27"/>
        <xdr:cNvPicPr>
          <a:picLocks noChangeAspect="1"/>
        </xdr:cNvPicPr>
      </xdr:nvPicPr>
      <xdr:blipFill>
        <a:blip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42710" y="14851380"/>
          <a:ext cx="287655" cy="186690"/>
        </a:xfrm>
        <a:prstGeom prst="rect">
          <a:avLst/>
        </a:prstGeom>
      </xdr:spPr>
    </xdr:pic>
    <xdr:clientData/>
  </xdr:oneCellAnchor>
  <xdr:twoCellAnchor editAs="oneCell">
    <xdr:from>
      <xdr:col>13</xdr:col>
      <xdr:colOff>0</xdr:colOff>
      <xdr:row>5</xdr:row>
      <xdr:rowOff>28575</xdr:rowOff>
    </xdr:from>
    <xdr:to>
      <xdr:col>13</xdr:col>
      <xdr:colOff>180000</xdr:colOff>
      <xdr:row>6</xdr:row>
      <xdr:rowOff>91650</xdr:rowOff>
    </xdr:to>
    <xdr:pic>
      <xdr:nvPicPr>
        <xdr:cNvPr id="4" name="Picture 3"/>
        <xdr:cNvPicPr>
          <a:picLocks noChangeAspect="1"/>
        </xdr:cNvPicPr>
      </xdr:nvPicPr>
      <xdr:blipFill>
        <a:blip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57365" y="838200"/>
          <a:ext cx="179705" cy="219075"/>
        </a:xfrm>
        <a:prstGeom prst="rect">
          <a:avLst/>
        </a:prstGeom>
      </xdr:spPr>
    </xdr:pic>
    <xdr:clientData/>
  </xdr:twoCellAnchor>
  <xdr:oneCellAnchor>
    <xdr:from>
      <xdr:col>11</xdr:col>
      <xdr:colOff>0</xdr:colOff>
      <xdr:row>5</xdr:row>
      <xdr:rowOff>28575</xdr:rowOff>
    </xdr:from>
    <xdr:ext cx="180000" cy="219285"/>
    <xdr:pic>
      <xdr:nvPicPr>
        <xdr:cNvPr id="29" name="Picture 28"/>
        <xdr:cNvPicPr>
          <a:picLocks noChangeAspect="1"/>
        </xdr:cNvPicPr>
      </xdr:nvPicPr>
      <xdr:blipFill>
        <a:blip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45405" y="838200"/>
          <a:ext cx="179705" cy="219075"/>
        </a:xfrm>
        <a:prstGeom prst="rect">
          <a:avLst/>
        </a:prstGeom>
      </xdr:spPr>
    </xdr:pic>
    <xdr:clientData/>
  </xdr:oneCellAnchor>
  <xdr:oneCellAnchor>
    <xdr:from>
      <xdr:col>11</xdr:col>
      <xdr:colOff>0</xdr:colOff>
      <xdr:row>11</xdr:row>
      <xdr:rowOff>28575</xdr:rowOff>
    </xdr:from>
    <xdr:ext cx="180000" cy="219285"/>
    <xdr:pic>
      <xdr:nvPicPr>
        <xdr:cNvPr id="30" name="Picture 29"/>
        <xdr:cNvPicPr>
          <a:picLocks noChangeAspect="1"/>
        </xdr:cNvPicPr>
      </xdr:nvPicPr>
      <xdr:blipFill>
        <a:blip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45405" y="1784985"/>
          <a:ext cx="179705" cy="219075"/>
        </a:xfrm>
        <a:prstGeom prst="rect">
          <a:avLst/>
        </a:prstGeom>
      </xdr:spPr>
    </xdr:pic>
    <xdr:clientData/>
  </xdr:oneCellAnchor>
  <xdr:oneCellAnchor>
    <xdr:from>
      <xdr:col>13</xdr:col>
      <xdr:colOff>0</xdr:colOff>
      <xdr:row>11</xdr:row>
      <xdr:rowOff>28575</xdr:rowOff>
    </xdr:from>
    <xdr:ext cx="180000" cy="219285"/>
    <xdr:pic>
      <xdr:nvPicPr>
        <xdr:cNvPr id="31" name="Picture 30"/>
        <xdr:cNvPicPr>
          <a:picLocks noChangeAspect="1"/>
        </xdr:cNvPicPr>
      </xdr:nvPicPr>
      <xdr:blipFill>
        <a:blip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57365" y="1784985"/>
          <a:ext cx="179705" cy="219075"/>
        </a:xfrm>
        <a:prstGeom prst="rect">
          <a:avLst/>
        </a:prstGeom>
      </xdr:spPr>
    </xdr:pic>
    <xdr:clientData/>
  </xdr:oneCellAnchor>
  <xdr:oneCellAnchor>
    <xdr:from>
      <xdr:col>11</xdr:col>
      <xdr:colOff>0</xdr:colOff>
      <xdr:row>14</xdr:row>
      <xdr:rowOff>28575</xdr:rowOff>
    </xdr:from>
    <xdr:ext cx="180000" cy="219285"/>
    <xdr:pic>
      <xdr:nvPicPr>
        <xdr:cNvPr id="32" name="Picture 31"/>
        <xdr:cNvPicPr>
          <a:picLocks noChangeAspect="1"/>
        </xdr:cNvPicPr>
      </xdr:nvPicPr>
      <xdr:blipFill>
        <a:blip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45405" y="2263140"/>
          <a:ext cx="179705" cy="219075"/>
        </a:xfrm>
        <a:prstGeom prst="rect">
          <a:avLst/>
        </a:prstGeom>
      </xdr:spPr>
    </xdr:pic>
    <xdr:clientData/>
  </xdr:oneCellAnchor>
  <xdr:oneCellAnchor>
    <xdr:from>
      <xdr:col>13</xdr:col>
      <xdr:colOff>0</xdr:colOff>
      <xdr:row>14</xdr:row>
      <xdr:rowOff>28575</xdr:rowOff>
    </xdr:from>
    <xdr:ext cx="180000" cy="219285"/>
    <xdr:pic>
      <xdr:nvPicPr>
        <xdr:cNvPr id="33" name="Picture 32"/>
        <xdr:cNvPicPr>
          <a:picLocks noChangeAspect="1"/>
        </xdr:cNvPicPr>
      </xdr:nvPicPr>
      <xdr:blipFill>
        <a:blip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57365" y="2263140"/>
          <a:ext cx="179705" cy="219075"/>
        </a:xfrm>
        <a:prstGeom prst="rect">
          <a:avLst/>
        </a:prstGeom>
      </xdr:spPr>
    </xdr:pic>
    <xdr:clientData/>
  </xdr:oneCellAnchor>
  <xdr:oneCellAnchor>
    <xdr:from>
      <xdr:col>11</xdr:col>
      <xdr:colOff>0</xdr:colOff>
      <xdr:row>55</xdr:row>
      <xdr:rowOff>28575</xdr:rowOff>
    </xdr:from>
    <xdr:ext cx="180000" cy="219285"/>
    <xdr:pic>
      <xdr:nvPicPr>
        <xdr:cNvPr id="34" name="Picture 33"/>
        <xdr:cNvPicPr>
          <a:picLocks noChangeAspect="1"/>
        </xdr:cNvPicPr>
      </xdr:nvPicPr>
      <xdr:blipFill>
        <a:blip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45405" y="8782050"/>
          <a:ext cx="179705" cy="219075"/>
        </a:xfrm>
        <a:prstGeom prst="rect">
          <a:avLst/>
        </a:prstGeom>
      </xdr:spPr>
    </xdr:pic>
    <xdr:clientData/>
  </xdr:oneCellAnchor>
  <xdr:oneCellAnchor>
    <xdr:from>
      <xdr:col>13</xdr:col>
      <xdr:colOff>0</xdr:colOff>
      <xdr:row>55</xdr:row>
      <xdr:rowOff>28575</xdr:rowOff>
    </xdr:from>
    <xdr:ext cx="180000" cy="219285"/>
    <xdr:pic>
      <xdr:nvPicPr>
        <xdr:cNvPr id="35" name="Picture 34"/>
        <xdr:cNvPicPr>
          <a:picLocks noChangeAspect="1"/>
        </xdr:cNvPicPr>
      </xdr:nvPicPr>
      <xdr:blipFill>
        <a:blip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57365" y="8782050"/>
          <a:ext cx="179705" cy="219075"/>
        </a:xfrm>
        <a:prstGeom prst="rect">
          <a:avLst/>
        </a:prstGeom>
      </xdr:spPr>
    </xdr:pic>
    <xdr:clientData/>
  </xdr:oneCellAnchor>
  <xdr:twoCellAnchor editAs="oneCell">
    <xdr:from>
      <xdr:col>12</xdr:col>
      <xdr:colOff>971550</xdr:colOff>
      <xdr:row>64</xdr:row>
      <xdr:rowOff>0</xdr:rowOff>
    </xdr:from>
    <xdr:to>
      <xdr:col>12</xdr:col>
      <xdr:colOff>1363950</xdr:colOff>
      <xdr:row>65</xdr:row>
      <xdr:rowOff>106383</xdr:rowOff>
    </xdr:to>
    <xdr:pic>
      <xdr:nvPicPr>
        <xdr:cNvPr id="5" name="Picture 4"/>
        <xdr:cNvPicPr>
          <a:picLocks noChangeAspect="1"/>
        </xdr:cNvPicPr>
      </xdr:nvPicPr>
      <xdr:blipFill>
        <a:blip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28410" y="10187940"/>
          <a:ext cx="391795" cy="262255"/>
        </a:xfrm>
        <a:prstGeom prst="rect">
          <a:avLst/>
        </a:prstGeom>
      </xdr:spPr>
    </xdr:pic>
    <xdr:clientData/>
  </xdr:twoCellAnchor>
  <xdr:twoCellAnchor editAs="oneCell">
    <xdr:from>
      <xdr:col>10</xdr:col>
      <xdr:colOff>1181100</xdr:colOff>
      <xdr:row>70</xdr:row>
      <xdr:rowOff>38100</xdr:rowOff>
    </xdr:from>
    <xdr:to>
      <xdr:col>10</xdr:col>
      <xdr:colOff>1357500</xdr:colOff>
      <xdr:row>71</xdr:row>
      <xdr:rowOff>104842</xdr:rowOff>
    </xdr:to>
    <xdr:pic>
      <xdr:nvPicPr>
        <xdr:cNvPr id="6" name="Picture 5"/>
        <xdr:cNvPicPr>
          <a:picLocks noChangeAspect="1"/>
        </xdr:cNvPicPr>
      </xdr:nvPicPr>
      <xdr:blipFill>
        <a:blip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26000" y="11172825"/>
          <a:ext cx="175895" cy="222885"/>
        </a:xfrm>
        <a:prstGeom prst="rect">
          <a:avLst/>
        </a:prstGeom>
      </xdr:spPr>
    </xdr:pic>
    <xdr:clientData/>
  </xdr:twoCellAnchor>
  <xdr:oneCellAnchor>
    <xdr:from>
      <xdr:col>12</xdr:col>
      <xdr:colOff>1181100</xdr:colOff>
      <xdr:row>70</xdr:row>
      <xdr:rowOff>38100</xdr:rowOff>
    </xdr:from>
    <xdr:ext cx="176400" cy="222952"/>
    <xdr:pic>
      <xdr:nvPicPr>
        <xdr:cNvPr id="38" name="Picture 37"/>
        <xdr:cNvPicPr>
          <a:picLocks noChangeAspect="1"/>
        </xdr:cNvPicPr>
      </xdr:nvPicPr>
      <xdr:blipFill>
        <a:blip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37960" y="11172825"/>
          <a:ext cx="175895" cy="222885"/>
        </a:xfrm>
        <a:prstGeom prst="rect">
          <a:avLst/>
        </a:prstGeom>
      </xdr:spPr>
    </xdr:pic>
    <xdr:clientData/>
  </xdr:oneCellAnchor>
  <xdr:twoCellAnchor editAs="oneCell">
    <xdr:from>
      <xdr:col>10</xdr:col>
      <xdr:colOff>1152525</xdr:colOff>
      <xdr:row>73</xdr:row>
      <xdr:rowOff>47625</xdr:rowOff>
    </xdr:from>
    <xdr:to>
      <xdr:col>10</xdr:col>
      <xdr:colOff>1375005</xdr:colOff>
      <xdr:row>75</xdr:row>
      <xdr:rowOff>47775</xdr:rowOff>
    </xdr:to>
    <xdr:pic>
      <xdr:nvPicPr>
        <xdr:cNvPr id="7" name="Picture 6"/>
        <xdr:cNvPicPr>
          <a:picLocks noChangeAspect="1"/>
        </xdr:cNvPicPr>
      </xdr:nvPicPr>
      <xdr:blipFill>
        <a:blip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97425" y="11650980"/>
          <a:ext cx="222250" cy="312420"/>
        </a:xfrm>
        <a:prstGeom prst="rect">
          <a:avLst/>
        </a:prstGeom>
      </xdr:spPr>
    </xdr:pic>
    <xdr:clientData/>
  </xdr:twoCellAnchor>
  <xdr:oneCellAnchor>
    <xdr:from>
      <xdr:col>12</xdr:col>
      <xdr:colOff>1152525</xdr:colOff>
      <xdr:row>73</xdr:row>
      <xdr:rowOff>47625</xdr:rowOff>
    </xdr:from>
    <xdr:ext cx="222480" cy="312570"/>
    <xdr:pic>
      <xdr:nvPicPr>
        <xdr:cNvPr id="46" name="Picture 45"/>
        <xdr:cNvPicPr>
          <a:picLocks noChangeAspect="1"/>
        </xdr:cNvPicPr>
      </xdr:nvPicPr>
      <xdr:blipFill>
        <a:blip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09385" y="11650980"/>
          <a:ext cx="222250" cy="312420"/>
        </a:xfrm>
        <a:prstGeom prst="rect">
          <a:avLst/>
        </a:prstGeom>
      </xdr:spPr>
    </xdr:pic>
    <xdr:clientData/>
  </xdr:oneCellAnchor>
  <xdr:twoCellAnchor editAs="oneCell">
    <xdr:from>
      <xdr:col>10</xdr:col>
      <xdr:colOff>1171575</xdr:colOff>
      <xdr:row>64</xdr:row>
      <xdr:rowOff>19050</xdr:rowOff>
    </xdr:from>
    <xdr:to>
      <xdr:col>10</xdr:col>
      <xdr:colOff>1355175</xdr:colOff>
      <xdr:row>66</xdr:row>
      <xdr:rowOff>473</xdr:rowOff>
    </xdr:to>
    <xdr:pic>
      <xdr:nvPicPr>
        <xdr:cNvPr id="8" name="Picture 7"/>
        <xdr:cNvPicPr>
          <a:picLocks noChangeAspect="1"/>
        </xdr:cNvPicPr>
      </xdr:nvPicPr>
      <xdr:blipFill>
        <a:blip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6475" y="10206990"/>
          <a:ext cx="183515" cy="293370"/>
        </a:xfrm>
        <a:prstGeom prst="rect">
          <a:avLst/>
        </a:prstGeom>
      </xdr:spPr>
    </xdr:pic>
    <xdr:clientData/>
  </xdr:twoCellAnchor>
  <xdr:oneCellAnchor>
    <xdr:from>
      <xdr:col>8</xdr:col>
      <xdr:colOff>1152525</xdr:colOff>
      <xdr:row>73</xdr:row>
      <xdr:rowOff>47625</xdr:rowOff>
    </xdr:from>
    <xdr:ext cx="222480" cy="312570"/>
    <xdr:pic>
      <xdr:nvPicPr>
        <xdr:cNvPr id="39" name="Picture 38"/>
        <xdr:cNvPicPr>
          <a:picLocks noChangeAspect="1"/>
        </xdr:cNvPicPr>
      </xdr:nvPicPr>
      <xdr:blipFill>
        <a:blip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33445" y="11650980"/>
          <a:ext cx="222250" cy="312420"/>
        </a:xfrm>
        <a:prstGeom prst="rect">
          <a:avLst/>
        </a:prstGeom>
      </xdr:spPr>
    </xdr:pic>
    <xdr:clientData/>
  </xdr:oneCellAnchor>
  <xdr:twoCellAnchor editAs="oneCell">
    <xdr:from>
      <xdr:col>10</xdr:col>
      <xdr:colOff>1193390</xdr:colOff>
      <xdr:row>24</xdr:row>
      <xdr:rowOff>133350</xdr:rowOff>
    </xdr:from>
    <xdr:to>
      <xdr:col>10</xdr:col>
      <xdr:colOff>1378733</xdr:colOff>
      <xdr:row>26</xdr:row>
      <xdr:rowOff>92850</xdr:rowOff>
    </xdr:to>
    <xdr:pic>
      <xdr:nvPicPr>
        <xdr:cNvPr id="9" name="Picture 8"/>
        <xdr:cNvPicPr>
          <a:picLocks noChangeAspect="1"/>
        </xdr:cNvPicPr>
      </xdr:nvPicPr>
      <xdr:blipFill>
        <a:blip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065" y="3968115"/>
          <a:ext cx="185420" cy="290830"/>
        </a:xfrm>
        <a:prstGeom prst="rect">
          <a:avLst/>
        </a:prstGeom>
      </xdr:spPr>
    </xdr:pic>
    <xdr:clientData/>
  </xdr:twoCellAnchor>
  <xdr:oneCellAnchor>
    <xdr:from>
      <xdr:col>12</xdr:col>
      <xdr:colOff>1151255</xdr:colOff>
      <xdr:row>25</xdr:row>
      <xdr:rowOff>24130</xdr:rowOff>
    </xdr:from>
    <xdr:ext cx="195851" cy="210285"/>
    <xdr:pic>
      <xdr:nvPicPr>
        <xdr:cNvPr id="10" name="Picture 9"/>
        <xdr:cNvPicPr>
          <a:picLocks noChangeAspect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08115" y="4034155"/>
          <a:ext cx="195580" cy="210185"/>
        </a:xfrm>
        <a:prstGeom prst="rect">
          <a:avLst/>
        </a:prstGeom>
      </xdr:spPr>
    </xdr:pic>
    <xdr:clientData/>
  </xdr:oneCellAnchor>
  <xdr:twoCellAnchor editAs="oneCell">
    <xdr:from>
      <xdr:col>12</xdr:col>
      <xdr:colOff>1268730</xdr:colOff>
      <xdr:row>103</xdr:row>
      <xdr:rowOff>40005</xdr:rowOff>
    </xdr:from>
    <xdr:to>
      <xdr:col>12</xdr:col>
      <xdr:colOff>1484630</xdr:colOff>
      <xdr:row>105</xdr:row>
      <xdr:rowOff>4445</xdr:rowOff>
    </xdr:to>
    <xdr:pic>
      <xdr:nvPicPr>
        <xdr:cNvPr id="36" name="Picture 35" descr="i-viru-vapp"/>
        <xdr:cNvPicPr>
          <a:picLocks noChangeAspect="1"/>
        </xdr:cNvPicPr>
      </xdr:nvPicPr>
      <xdr:blipFill>
        <a:blip r:embed="rId12"/>
        <a:stretch>
          <a:fillRect/>
        </a:stretch>
      </xdr:blipFill>
      <xdr:spPr>
        <a:xfrm>
          <a:off x="6625590" y="16434435"/>
          <a:ext cx="215900" cy="276860"/>
        </a:xfrm>
        <a:prstGeom prst="rect">
          <a:avLst/>
        </a:prstGeom>
      </xdr:spPr>
    </xdr:pic>
    <xdr:clientData/>
  </xdr:twoCellAnchor>
  <xdr:twoCellAnchor editAs="oneCell">
    <xdr:from>
      <xdr:col>12</xdr:col>
      <xdr:colOff>1268730</xdr:colOff>
      <xdr:row>109</xdr:row>
      <xdr:rowOff>40005</xdr:rowOff>
    </xdr:from>
    <xdr:to>
      <xdr:col>12</xdr:col>
      <xdr:colOff>1484630</xdr:colOff>
      <xdr:row>111</xdr:row>
      <xdr:rowOff>4445</xdr:rowOff>
    </xdr:to>
    <xdr:pic>
      <xdr:nvPicPr>
        <xdr:cNvPr id="37" name="Picture 36" descr="i-viru-vapp"/>
        <xdr:cNvPicPr>
          <a:picLocks noChangeAspect="1"/>
        </xdr:cNvPicPr>
      </xdr:nvPicPr>
      <xdr:blipFill>
        <a:blip r:embed="rId12"/>
        <a:stretch>
          <a:fillRect/>
        </a:stretch>
      </xdr:blipFill>
      <xdr:spPr>
        <a:xfrm>
          <a:off x="6625590" y="17390745"/>
          <a:ext cx="215900" cy="27686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9525</xdr:colOff>
      <xdr:row>0</xdr:row>
      <xdr:rowOff>19050</xdr:rowOff>
    </xdr:from>
    <xdr:to>
      <xdr:col>0</xdr:col>
      <xdr:colOff>409372</xdr:colOff>
      <xdr:row>2</xdr:row>
      <xdr:rowOff>142875</xdr:rowOff>
    </xdr:to>
    <xdr:pic>
      <xdr:nvPicPr>
        <xdr:cNvPr id="2" name="Picture 1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19050"/>
          <a:ext cx="399415" cy="4362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comments" Target="../comments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comments" Target="../comments11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comments" Target="../comments12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.vml"/><Relationship Id="rId1" Type="http://schemas.openxmlformats.org/officeDocument/2006/relationships/comments" Target="../comments13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4.vml"/><Relationship Id="rId1" Type="http://schemas.openxmlformats.org/officeDocument/2006/relationships/comments" Target="../comments14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5.vml"/><Relationship Id="rId1" Type="http://schemas.openxmlformats.org/officeDocument/2006/relationships/comments" Target="../comments15.x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6.vml"/><Relationship Id="rId1" Type="http://schemas.openxmlformats.org/officeDocument/2006/relationships/comments" Target="../comments16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comments" Target="../comments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comments" Target="../comments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comments" Target="../comments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comments" Target="../comments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  <pageSetUpPr fitToPage="1"/>
  </sheetPr>
  <dimension ref="A1:O48"/>
  <sheetViews>
    <sheetView showGridLines="0" workbookViewId="0">
      <pane ySplit="3" topLeftCell="A4" activePane="bottomLeft" state="frozen"/>
      <selection/>
      <selection pane="bottomLeft" activeCell="C16" sqref="C16"/>
    </sheetView>
  </sheetViews>
  <sheetFormatPr defaultColWidth="9" defaultRowHeight="12.3"/>
  <cols>
    <col min="1" max="1" width="12.5675675675676" style="257" customWidth="1"/>
    <col min="2" max="2" width="5.56756756756757" style="257" customWidth="1"/>
    <col min="3" max="3" width="26.4234234234234" style="257" customWidth="1"/>
    <col min="4" max="4" width="8.28828828828829" style="257" customWidth="1"/>
    <col min="5" max="5" width="6" style="257" customWidth="1"/>
    <col min="6" max="6" width="15.5675675675676" style="257" customWidth="1"/>
    <col min="7" max="7" width="14.8558558558559" style="257" customWidth="1"/>
    <col min="8" max="8" width="4.56756756756757" style="650" customWidth="1"/>
    <col min="9" max="9" width="5" style="257" customWidth="1"/>
    <col min="10" max="16384" width="9.14414414414414" style="257"/>
  </cols>
  <sheetData>
    <row r="1" spans="1:9">
      <c r="A1" s="260"/>
      <c r="B1" s="260"/>
      <c r="C1" s="651" t="s">
        <v>0</v>
      </c>
      <c r="D1" s="260"/>
      <c r="E1" s="260"/>
      <c r="F1" s="393" t="str">
        <f>HYPERLINK("","")</f>
        <v/>
      </c>
      <c r="G1" s="396"/>
      <c r="H1" s="652" t="s">
        <v>1</v>
      </c>
      <c r="I1" s="396"/>
    </row>
    <row r="2" spans="1:9">
      <c r="A2" s="260"/>
      <c r="B2" s="260"/>
      <c r="C2" s="260"/>
      <c r="D2" s="260"/>
      <c r="E2" s="260"/>
      <c r="F2" s="394"/>
      <c r="G2" s="396"/>
      <c r="H2" s="653"/>
      <c r="I2" s="780"/>
    </row>
    <row r="3" ht="13.05" spans="1:9">
      <c r="A3" s="654" t="s">
        <v>2</v>
      </c>
      <c r="B3" s="654" t="s">
        <v>3</v>
      </c>
      <c r="C3" s="655" t="s">
        <v>4</v>
      </c>
      <c r="D3" s="655" t="s">
        <v>5</v>
      </c>
      <c r="E3" s="655" t="s">
        <v>6</v>
      </c>
      <c r="F3" s="655" t="s">
        <v>7</v>
      </c>
      <c r="G3" s="655" t="s">
        <v>8</v>
      </c>
      <c r="H3" s="656" t="s">
        <v>9</v>
      </c>
      <c r="I3" s="655" t="s">
        <v>10</v>
      </c>
    </row>
    <row r="4" ht="13.05" spans="1:9">
      <c r="A4" s="802" t="s">
        <v>11</v>
      </c>
      <c r="B4" s="658"/>
      <c r="C4" s="260"/>
      <c r="D4" s="260"/>
      <c r="E4" s="260"/>
      <c r="F4" s="260"/>
      <c r="G4" s="260"/>
      <c r="H4" s="659"/>
      <c r="I4" s="260"/>
    </row>
    <row r="5" spans="1:9">
      <c r="A5" s="660" t="s">
        <v>12</v>
      </c>
      <c r="B5" s="803" t="s">
        <v>13</v>
      </c>
      <c r="C5" s="662" t="s">
        <v>14</v>
      </c>
      <c r="D5" s="663"/>
      <c r="E5" s="664"/>
      <c r="F5" s="665" t="str">
        <f>HYPERLINK("https://kaart.delfi.ee/?bookmark=2456dbce930692d81ec761beacb7a00a","Voka staadion")</f>
        <v>Voka staadion</v>
      </c>
      <c r="G5" s="666" t="s">
        <v>15</v>
      </c>
      <c r="H5" s="667"/>
      <c r="I5" s="781"/>
    </row>
    <row r="6" spans="1:9">
      <c r="A6" s="668" t="s">
        <v>16</v>
      </c>
      <c r="B6" s="804" t="s">
        <v>13</v>
      </c>
      <c r="C6" s="670" t="s">
        <v>17</v>
      </c>
      <c r="D6" s="669" t="s">
        <v>18</v>
      </c>
      <c r="E6" s="671" t="str">
        <f>HYPERLINK("#'TMV-d'!A5","TMV-d")</f>
        <v>TMV-d</v>
      </c>
      <c r="F6" s="672" t="str">
        <f>HYPERLINK("https://kaart.delfi.ee/?bookmark=2456dbce930692d81ec761beacb7a00a","Voka staadion")</f>
        <v>Voka staadion</v>
      </c>
      <c r="G6" s="668" t="s">
        <v>15</v>
      </c>
      <c r="H6" s="673" t="s">
        <v>19</v>
      </c>
      <c r="I6" s="782"/>
    </row>
    <row r="7" spans="1:9">
      <c r="A7" s="674" t="s">
        <v>20</v>
      </c>
      <c r="B7" s="675" t="s">
        <v>21</v>
      </c>
      <c r="C7" s="675" t="s">
        <v>22</v>
      </c>
      <c r="D7" s="675" t="s">
        <v>18</v>
      </c>
      <c r="E7" s="676" t="str">
        <f>HYPERLINK("#V1!A5","V1")</f>
        <v>V1</v>
      </c>
      <c r="F7" s="677" t="str">
        <f>HYPERLINK("https://kaart.delfi.ee/?bookmark=2456dbce930692d81ec761beacb7a00a","Voka staadion")</f>
        <v>Voka staadion</v>
      </c>
      <c r="G7" s="674" t="s">
        <v>15</v>
      </c>
      <c r="H7" s="678" t="s">
        <v>23</v>
      </c>
      <c r="I7" s="783">
        <f>V!Z127</f>
        <v>18</v>
      </c>
    </row>
    <row r="8" spans="1:9">
      <c r="A8" s="674" t="s">
        <v>24</v>
      </c>
      <c r="B8" s="675" t="s">
        <v>21</v>
      </c>
      <c r="C8" s="675" t="s">
        <v>25</v>
      </c>
      <c r="D8" s="675" t="s">
        <v>18</v>
      </c>
      <c r="E8" s="676" t="str">
        <f>HYPERLINK("#V2!A5","V2")</f>
        <v>V2</v>
      </c>
      <c r="F8" s="677" t="str">
        <f>HYPERLINK("https://kaart.delfi.ee/?bookmark=2456dbce930692d81ec761beacb7a00a","Voka staadion")</f>
        <v>Voka staadion</v>
      </c>
      <c r="G8" s="674" t="s">
        <v>15</v>
      </c>
      <c r="H8" s="678" t="s">
        <v>23</v>
      </c>
      <c r="I8" s="783">
        <f>V!AA127</f>
        <v>28</v>
      </c>
    </row>
    <row r="9" ht="13.05" spans="1:9">
      <c r="A9" s="679" t="s">
        <v>26</v>
      </c>
      <c r="B9" s="679" t="s">
        <v>13</v>
      </c>
      <c r="C9" s="680" t="s">
        <v>27</v>
      </c>
      <c r="D9" s="680" t="s">
        <v>28</v>
      </c>
      <c r="E9" s="681" t="str">
        <f>HYPERLINK("#iv-ü!A5","iv-ü")</f>
        <v>iv-ü</v>
      </c>
      <c r="F9" s="682" t="str">
        <f>HYPERLINK("https://kaart.delfi.ee/?bookmark=2456dbce930692d81ec761beacb7a00a","Voka staadion")</f>
        <v>Voka staadion</v>
      </c>
      <c r="G9" s="680" t="s">
        <v>15</v>
      </c>
      <c r="H9" s="683" t="s">
        <v>29</v>
      </c>
      <c r="I9" s="784">
        <v>24</v>
      </c>
    </row>
    <row r="10" ht="13.05" spans="1:10">
      <c r="A10" s="802" t="s">
        <v>30</v>
      </c>
      <c r="B10" s="658"/>
      <c r="C10" s="684"/>
      <c r="D10" s="684"/>
      <c r="E10" s="684"/>
      <c r="F10" s="685"/>
      <c r="G10" s="685"/>
      <c r="H10" s="686"/>
      <c r="I10" s="785"/>
      <c r="J10" s="256"/>
    </row>
    <row r="11" spans="1:10">
      <c r="A11" s="687" t="s">
        <v>31</v>
      </c>
      <c r="B11" s="688" t="s">
        <v>13</v>
      </c>
      <c r="C11" s="689" t="s">
        <v>32</v>
      </c>
      <c r="D11" s="690" t="s">
        <v>28</v>
      </c>
      <c r="E11" s="691"/>
      <c r="F11" s="692" t="str">
        <f t="shared" ref="F11:F15" si="0">HYPERLINK("https://kaart.delfi.ee/?bookmark=2456dbce930692d81ec761beacb7a00a","Voka staadion")</f>
        <v>Voka staadion</v>
      </c>
      <c r="G11" s="690" t="s">
        <v>33</v>
      </c>
      <c r="H11" s="693" t="s">
        <v>34</v>
      </c>
      <c r="I11" s="786"/>
      <c r="J11" s="256"/>
    </row>
    <row r="12" s="256" customFormat="1" spans="1:9">
      <c r="A12" s="668" t="s">
        <v>35</v>
      </c>
      <c r="B12" s="669" t="s">
        <v>13</v>
      </c>
      <c r="C12" s="670" t="s">
        <v>17</v>
      </c>
      <c r="D12" s="669" t="s">
        <v>36</v>
      </c>
      <c r="E12" s="694" t="str">
        <f>HYPERLINK("#'TMV-t'!A5","TMV-t")</f>
        <v>TMV-t</v>
      </c>
      <c r="F12" s="672" t="str">
        <f t="shared" si="0"/>
        <v>Voka staadion</v>
      </c>
      <c r="G12" s="668" t="s">
        <v>15</v>
      </c>
      <c r="H12" s="673" t="s">
        <v>19</v>
      </c>
      <c r="I12" s="782"/>
    </row>
    <row r="13" spans="1:9">
      <c r="A13" s="674" t="s">
        <v>37</v>
      </c>
      <c r="B13" s="675" t="s">
        <v>21</v>
      </c>
      <c r="C13" s="675" t="s">
        <v>38</v>
      </c>
      <c r="D13" s="675" t="s">
        <v>18</v>
      </c>
      <c r="E13" s="695" t="str">
        <f>HYPERLINK("#V3!A5","V3")</f>
        <v>V3</v>
      </c>
      <c r="F13" s="677" t="str">
        <f t="shared" si="0"/>
        <v>Voka staadion</v>
      </c>
      <c r="G13" s="674" t="s">
        <v>15</v>
      </c>
      <c r="H13" s="678" t="s">
        <v>23</v>
      </c>
      <c r="I13" s="783">
        <f>V!AB127</f>
        <v>26</v>
      </c>
    </row>
    <row r="14" spans="1:9">
      <c r="A14" s="674" t="s">
        <v>39</v>
      </c>
      <c r="B14" s="675" t="s">
        <v>21</v>
      </c>
      <c r="C14" s="675" t="s">
        <v>40</v>
      </c>
      <c r="D14" s="675" t="s">
        <v>18</v>
      </c>
      <c r="E14" s="695" t="str">
        <f>HYPERLINK("#V4!A5","V4")</f>
        <v>V4</v>
      </c>
      <c r="F14" s="677" t="str">
        <f t="shared" si="0"/>
        <v>Voka staadion</v>
      </c>
      <c r="G14" s="674" t="s">
        <v>15</v>
      </c>
      <c r="H14" s="678" t="s">
        <v>23</v>
      </c>
      <c r="I14" s="783">
        <f>V!AC127</f>
        <v>26</v>
      </c>
    </row>
    <row r="15" s="256" customFormat="1" ht="13.05" spans="1:9">
      <c r="A15" s="696" t="s">
        <v>41</v>
      </c>
      <c r="B15" s="803" t="s">
        <v>42</v>
      </c>
      <c r="C15" s="663" t="s">
        <v>43</v>
      </c>
      <c r="D15" s="663" t="s">
        <v>28</v>
      </c>
      <c r="E15" s="697" t="str">
        <f>HYPERLINK("#Jaani!A5","Jaani")</f>
        <v>Jaani</v>
      </c>
      <c r="F15" s="665" t="str">
        <f t="shared" si="0"/>
        <v>Voka staadion</v>
      </c>
      <c r="G15" s="666" t="s">
        <v>15</v>
      </c>
      <c r="H15" s="698"/>
      <c r="I15" s="787">
        <v>12</v>
      </c>
    </row>
    <row r="16" ht="13.05" spans="1:9">
      <c r="A16" s="802" t="s">
        <v>44</v>
      </c>
      <c r="B16" s="658"/>
      <c r="C16" s="684"/>
      <c r="D16" s="684"/>
      <c r="E16" s="699"/>
      <c r="F16" s="685"/>
      <c r="G16" s="685"/>
      <c r="H16" s="686"/>
      <c r="I16" s="785"/>
    </row>
    <row r="17" spans="1:9">
      <c r="A17" s="700" t="s">
        <v>45</v>
      </c>
      <c r="B17" s="701" t="s">
        <v>21</v>
      </c>
      <c r="C17" s="675" t="s">
        <v>46</v>
      </c>
      <c r="D17" s="675" t="s">
        <v>18</v>
      </c>
      <c r="E17" s="695" t="str">
        <f>HYPERLINK("#V5!A5","V5")</f>
        <v>V5</v>
      </c>
      <c r="F17" s="677" t="str">
        <f>HYPERLINK("https://kaart.delfi.ee/?bookmark=2456dbce930692d81ec761beacb7a00a","Voka staadion")</f>
        <v>Voka staadion</v>
      </c>
      <c r="G17" s="674" t="s">
        <v>15</v>
      </c>
      <c r="H17" s="678" t="s">
        <v>23</v>
      </c>
      <c r="I17" s="783">
        <f>V!AD127</f>
        <v>41</v>
      </c>
    </row>
    <row r="18" spans="1:9">
      <c r="A18" s="702" t="s">
        <v>47</v>
      </c>
      <c r="B18" s="805" t="s">
        <v>48</v>
      </c>
      <c r="C18" s="703" t="s">
        <v>49</v>
      </c>
      <c r="D18" s="704" t="s">
        <v>28</v>
      </c>
      <c r="E18" s="705" t="str">
        <f>HYPERLINK("#M!A5","M")</f>
        <v>M</v>
      </c>
      <c r="F18" s="706" t="str">
        <f>HYPERLINK("https://kaart.delfi.ee/?bookmark=521b80d6ceeefbe3e5d227267242b206","K-Järve spordihoone")</f>
        <v>K-Järve spordihoone</v>
      </c>
      <c r="G18" s="707" t="s">
        <v>50</v>
      </c>
      <c r="H18" s="708" t="s">
        <v>23</v>
      </c>
      <c r="I18" s="788"/>
    </row>
    <row r="19" spans="1:9">
      <c r="A19" s="674" t="s">
        <v>51</v>
      </c>
      <c r="B19" s="675" t="s">
        <v>21</v>
      </c>
      <c r="C19" s="675" t="s">
        <v>52</v>
      </c>
      <c r="D19" s="675" t="s">
        <v>18</v>
      </c>
      <c r="E19" s="695" t="str">
        <f>HYPERLINK("#V6!A5","V6")</f>
        <v>V6</v>
      </c>
      <c r="F19" s="677" t="str">
        <f>HYPERLINK("https://kaart.delfi.ee/?bookmark=2456dbce930692d81ec761beacb7a00a","Voka staadion")</f>
        <v>Voka staadion</v>
      </c>
      <c r="G19" s="674" t="s">
        <v>15</v>
      </c>
      <c r="H19" s="678" t="s">
        <v>23</v>
      </c>
      <c r="I19" s="783">
        <f>V!AE127</f>
        <v>28</v>
      </c>
    </row>
    <row r="20" ht="13.05" spans="1:9">
      <c r="A20" s="674" t="s">
        <v>53</v>
      </c>
      <c r="B20" s="675" t="s">
        <v>21</v>
      </c>
      <c r="C20" s="675" t="s">
        <v>54</v>
      </c>
      <c r="D20" s="675" t="s">
        <v>18</v>
      </c>
      <c r="E20" s="695" t="str">
        <f>HYPERLINK("#V7!A5","V7")</f>
        <v>V7</v>
      </c>
      <c r="F20" s="677" t="str">
        <f t="shared" ref="F20:F25" si="1">HYPERLINK("https://kaart.delfi.ee/?bookmark=2456dbce930692d81ec761beacb7a00a","Voka staadion")</f>
        <v>Voka staadion</v>
      </c>
      <c r="G20" s="674" t="s">
        <v>15</v>
      </c>
      <c r="H20" s="678" t="s">
        <v>23</v>
      </c>
      <c r="I20" s="783">
        <f>V!AF127</f>
        <v>28</v>
      </c>
    </row>
    <row r="21" ht="13.05" hidden="1" spans="1:10">
      <c r="A21" s="709" t="s">
        <v>55</v>
      </c>
      <c r="B21" s="710" t="s">
        <v>13</v>
      </c>
      <c r="C21" s="711" t="s">
        <v>56</v>
      </c>
      <c r="D21" s="711" t="s">
        <v>28</v>
      </c>
      <c r="E21" s="695" t="str">
        <f>HYPERLINK("#Mu!A5","Mu")</f>
        <v>Mu</v>
      </c>
      <c r="F21" s="712" t="str">
        <f t="shared" si="1"/>
        <v>Voka staadion</v>
      </c>
      <c r="G21" s="713" t="s">
        <v>15</v>
      </c>
      <c r="H21" s="714"/>
      <c r="I21" s="789">
        <v>21</v>
      </c>
      <c r="J21" s="548"/>
    </row>
    <row r="22" ht="13.05" spans="1:9">
      <c r="A22" s="802" t="s">
        <v>57</v>
      </c>
      <c r="B22" s="658"/>
      <c r="C22" s="684"/>
      <c r="D22" s="684"/>
      <c r="E22" s="684"/>
      <c r="F22" s="685"/>
      <c r="G22" s="685"/>
      <c r="H22" s="686"/>
      <c r="I22" s="785"/>
    </row>
    <row r="23" spans="1:10">
      <c r="A23" s="715" t="s">
        <v>58</v>
      </c>
      <c r="B23" s="715" t="s">
        <v>48</v>
      </c>
      <c r="C23" s="716" t="str">
        <f>HYPERLINK("https://www.petanque.ee/index.php?id=103589&amp;cid=1062","3. Eesti MV 55+")</f>
        <v>3. Eesti MV 55+</v>
      </c>
      <c r="D23" s="717" t="s">
        <v>18</v>
      </c>
      <c r="E23" s="718"/>
      <c r="F23" s="716" t="str">
        <f>HYPERLINK("https://kaart.delfi.ee/?bookmark=521b80d6ceeefbe3e5d227267242b206","K-Järve spordihoone")</f>
        <v>K-Järve spordihoone</v>
      </c>
      <c r="G23" s="719" t="s">
        <v>59</v>
      </c>
      <c r="H23" s="720"/>
      <c r="I23" s="790"/>
      <c r="J23" s="256"/>
    </row>
    <row r="24" spans="1:10">
      <c r="A24" s="717" t="s">
        <v>60</v>
      </c>
      <c r="B24" s="717" t="s">
        <v>48</v>
      </c>
      <c r="C24" s="716" t="str">
        <f>HYPERLINK("https://www.petanque.ee/index.php?id=103589&amp;cid=1063","6. Eesti MV 55+")</f>
        <v>6. Eesti MV 55+</v>
      </c>
      <c r="D24" s="717" t="s">
        <v>36</v>
      </c>
      <c r="E24" s="718"/>
      <c r="F24" s="716" t="str">
        <f>HYPERLINK("https://kaart.delfi.ee/?bookmark=521b80d6ceeefbe3e5d227267242b206","K-Järve spordihoone")</f>
        <v>K-Järve spordihoone</v>
      </c>
      <c r="G24" s="719" t="s">
        <v>59</v>
      </c>
      <c r="H24" s="720"/>
      <c r="I24" s="790"/>
      <c r="J24" s="256"/>
    </row>
    <row r="25" spans="1:9">
      <c r="A25" s="674" t="s">
        <v>61</v>
      </c>
      <c r="B25" s="675" t="s">
        <v>21</v>
      </c>
      <c r="C25" s="675" t="s">
        <v>62</v>
      </c>
      <c r="D25" s="675" t="s">
        <v>18</v>
      </c>
      <c r="E25" s="695" t="str">
        <f>HYPERLINK("#V8!A5","V8")</f>
        <v>V8</v>
      </c>
      <c r="F25" s="677" t="str">
        <f t="shared" si="1"/>
        <v>Voka staadion</v>
      </c>
      <c r="G25" s="674" t="s">
        <v>15</v>
      </c>
      <c r="H25" s="678" t="s">
        <v>23</v>
      </c>
      <c r="I25" s="783">
        <f>V!AF132</f>
        <v>0</v>
      </c>
    </row>
    <row r="26" spans="1:10">
      <c r="A26" s="721" t="s">
        <v>63</v>
      </c>
      <c r="B26" s="721" t="s">
        <v>13</v>
      </c>
      <c r="C26" s="721" t="s">
        <v>27</v>
      </c>
      <c r="D26" s="721" t="s">
        <v>36</v>
      </c>
      <c r="E26" s="681" t="str">
        <f>HYPERLINK("#iv!A5","iv-t")</f>
        <v>iv-t</v>
      </c>
      <c r="F26" s="722" t="str">
        <f>HYPERLINK("https://kaart.delfi.ee/?bookmark=521b80d6ceeefbe3e5d227267242b206","K-Järve spordihoone")</f>
        <v>K-Järve spordihoone</v>
      </c>
      <c r="G26" s="723" t="s">
        <v>64</v>
      </c>
      <c r="H26" s="724" t="s">
        <v>29</v>
      </c>
      <c r="I26" s="791"/>
      <c r="J26" s="256"/>
    </row>
    <row r="27" spans="1:9">
      <c r="A27" s="725" t="s">
        <v>65</v>
      </c>
      <c r="B27" s="726" t="s">
        <v>21</v>
      </c>
      <c r="C27" s="726" t="s">
        <v>66</v>
      </c>
      <c r="D27" s="726" t="s">
        <v>18</v>
      </c>
      <c r="E27" s="695" t="str">
        <f>HYPERLINK("#V9!A5","V9")</f>
        <v>V9</v>
      </c>
      <c r="F27" s="727" t="str">
        <f>HYPERLINK("https://kaart.delfi.ee/?bookmark=2456dbce930692d81ec761beacb7a00a","Voka staadion")</f>
        <v>Voka staadion</v>
      </c>
      <c r="G27" s="725" t="s">
        <v>15</v>
      </c>
      <c r="H27" s="728" t="s">
        <v>23</v>
      </c>
      <c r="I27" s="792">
        <f>V!AF134</f>
        <v>0</v>
      </c>
    </row>
    <row r="28" ht="13.05" spans="1:10">
      <c r="A28" s="729" t="s">
        <v>67</v>
      </c>
      <c r="B28" s="729" t="s">
        <v>13</v>
      </c>
      <c r="C28" s="721" t="s">
        <v>27</v>
      </c>
      <c r="D28" s="721" t="s">
        <v>68</v>
      </c>
      <c r="E28" s="681" t="str">
        <f>HYPERLINK("#iv-sd!A5","iv-sd")</f>
        <v>iv-sd</v>
      </c>
      <c r="F28" s="722" t="str">
        <f t="shared" ref="F28:F33" si="2">HYPERLINK("https://kaart.delfi.ee/?bookmark=2456dbce930692d81ec761beacb7a00a","Voka staadion")</f>
        <v>Voka staadion</v>
      </c>
      <c r="G28" s="721" t="s">
        <v>15</v>
      </c>
      <c r="H28" s="724" t="s">
        <v>29</v>
      </c>
      <c r="I28" s="791"/>
      <c r="J28" s="256"/>
    </row>
    <row r="29" ht="13.05" spans="1:10">
      <c r="A29" s="802" t="s">
        <v>69</v>
      </c>
      <c r="B29" s="658"/>
      <c r="C29" s="684"/>
      <c r="D29" s="684"/>
      <c r="E29" s="684"/>
      <c r="F29" s="684"/>
      <c r="G29" s="684"/>
      <c r="H29" s="730"/>
      <c r="I29" s="793"/>
      <c r="J29" s="256"/>
    </row>
    <row r="30" spans="1:10">
      <c r="A30" s="731" t="s">
        <v>70</v>
      </c>
      <c r="B30" s="732" t="s">
        <v>13</v>
      </c>
      <c r="C30" s="726" t="s">
        <v>71</v>
      </c>
      <c r="D30" s="726" t="s">
        <v>18</v>
      </c>
      <c r="E30" s="695" t="str">
        <f>HYPERLINK("#V10!A5","V10")</f>
        <v>V10</v>
      </c>
      <c r="F30" s="727" t="str">
        <f t="shared" ref="F30" si="3">HYPERLINK("https://kaart.delfi.ee/?bookmark=2456dbce930692d81ec761beacb7a00a","Voka staadion")</f>
        <v>Voka staadion</v>
      </c>
      <c r="G30" s="725" t="s">
        <v>15</v>
      </c>
      <c r="H30" s="733" t="s">
        <v>23</v>
      </c>
      <c r="I30" s="792">
        <f>V!AI127</f>
        <v>0</v>
      </c>
      <c r="J30" s="256"/>
    </row>
    <row r="31" spans="1:10">
      <c r="A31" s="721" t="s">
        <v>72</v>
      </c>
      <c r="B31" s="721" t="s">
        <v>13</v>
      </c>
      <c r="C31" s="721" t="s">
        <v>27</v>
      </c>
      <c r="D31" s="721" t="s">
        <v>73</v>
      </c>
      <c r="E31" s="681" t="str">
        <f>HYPERLINK("#iv-st!A5","iv-st")</f>
        <v>iv-st</v>
      </c>
      <c r="F31" s="722" t="str">
        <f t="shared" si="2"/>
        <v>Voka staadion</v>
      </c>
      <c r="G31" s="721" t="s">
        <v>15</v>
      </c>
      <c r="H31" s="724" t="s">
        <v>29</v>
      </c>
      <c r="I31" s="791"/>
      <c r="J31" s="256"/>
    </row>
    <row r="32" spans="1:10">
      <c r="A32" s="734" t="s">
        <v>74</v>
      </c>
      <c r="B32" s="735" t="s">
        <v>13</v>
      </c>
      <c r="C32" s="736" t="s">
        <v>17</v>
      </c>
      <c r="D32" s="735" t="s">
        <v>28</v>
      </c>
      <c r="E32" s="737" t="str">
        <f>HYPERLINK("#'TMV-ü'!A5","TMV-ü")</f>
        <v>TMV-ü</v>
      </c>
      <c r="F32" s="738" t="str">
        <f t="shared" si="2"/>
        <v>Voka staadion</v>
      </c>
      <c r="G32" s="734" t="s">
        <v>15</v>
      </c>
      <c r="H32" s="739" t="s">
        <v>19</v>
      </c>
      <c r="I32" s="794"/>
      <c r="J32" s="256"/>
    </row>
    <row r="33" spans="1:10">
      <c r="A33" s="729" t="s">
        <v>75</v>
      </c>
      <c r="B33" s="729" t="s">
        <v>13</v>
      </c>
      <c r="C33" s="721" t="s">
        <v>27</v>
      </c>
      <c r="D33" s="721" t="s">
        <v>18</v>
      </c>
      <c r="E33" s="681" t="str">
        <f>HYPERLINK("#iv-d!A5","iv-d")</f>
        <v>iv-d</v>
      </c>
      <c r="F33" s="722" t="str">
        <f t="shared" si="2"/>
        <v>Voka staadion</v>
      </c>
      <c r="G33" s="721" t="s">
        <v>15</v>
      </c>
      <c r="H33" s="724" t="s">
        <v>29</v>
      </c>
      <c r="I33" s="791"/>
      <c r="J33" s="256"/>
    </row>
    <row r="34" hidden="1" spans="1:10">
      <c r="A34" s="740" t="s">
        <v>76</v>
      </c>
      <c r="B34" s="740" t="s">
        <v>48</v>
      </c>
      <c r="C34" s="741" t="str">
        <f>HYPERLINK("https://www.petanque.ee/index.php?id=103820&amp;cid=893","10. Viru karikas")</f>
        <v>10. Viru karikas</v>
      </c>
      <c r="D34" s="740" t="s">
        <v>18</v>
      </c>
      <c r="E34" s="718"/>
      <c r="F34" s="741" t="str">
        <f>HYPERLINK("https://kaart.delfi.ee/?bookmark=521b80d6ceeefbe3e5d227267242b206","K-Järve spordihoone")</f>
        <v>K-Järve spordihoone</v>
      </c>
      <c r="G34" s="742" t="s">
        <v>77</v>
      </c>
      <c r="H34" s="743">
        <v>12</v>
      </c>
      <c r="I34" s="795"/>
      <c r="J34" s="256"/>
    </row>
    <row r="35" hidden="1" spans="1:9">
      <c r="A35" s="744" t="s">
        <v>78</v>
      </c>
      <c r="B35" s="744" t="s">
        <v>21</v>
      </c>
      <c r="C35" s="744" t="s">
        <v>27</v>
      </c>
      <c r="D35" s="744" t="s">
        <v>79</v>
      </c>
      <c r="E35" s="745" t="str">
        <f>HYPERLINK("#iv-tul!A5","iv-tul")</f>
        <v>iv-tul</v>
      </c>
      <c r="F35" s="746" t="str">
        <f>HYPERLINK("http://kaart.delfi.ee//?bookmark=1840db012ef3a4aff78d37f1f3ff52b8","K-Järve spordihoone")</f>
        <v>K-Järve spordihoone</v>
      </c>
      <c r="G35" s="747" t="s">
        <v>64</v>
      </c>
      <c r="H35" s="748">
        <v>3</v>
      </c>
      <c r="I35" s="796"/>
    </row>
    <row r="36" hidden="1" spans="1:9">
      <c r="A36" s="749" t="s">
        <v>80</v>
      </c>
      <c r="B36" s="750" t="s">
        <v>13</v>
      </c>
      <c r="C36" s="750" t="s">
        <v>81</v>
      </c>
      <c r="D36" s="750" t="s">
        <v>28</v>
      </c>
      <c r="E36" s="745"/>
      <c r="F36" s="751" t="str">
        <f>HYPERLINK("https://kaart.delfi.ee/?bookmark=521b80d6ceeefbe3e5d227267242b206","K-Järve spordihoone")</f>
        <v>K-Järve spordihoone</v>
      </c>
      <c r="G36" s="750" t="s">
        <v>64</v>
      </c>
      <c r="H36" s="752">
        <v>5</v>
      </c>
      <c r="I36" s="797"/>
    </row>
    <row r="37" hidden="1" spans="1:9">
      <c r="A37" s="753" t="s">
        <v>82</v>
      </c>
      <c r="B37" s="754" t="s">
        <v>13</v>
      </c>
      <c r="C37" s="754" t="s">
        <v>83</v>
      </c>
      <c r="D37" s="754" t="s">
        <v>28</v>
      </c>
      <c r="E37" s="755" t="str">
        <f>HYPERLINK("#6!A5","6")</f>
        <v>6</v>
      </c>
      <c r="F37" s="756" t="str">
        <f>HYPERLINK("https://kaart.delfi.ee/?bookmark=521b80d6ceeefbe3e5d227267242b206","K-Järve spordihoone")</f>
        <v>K-Järve spordihoone</v>
      </c>
      <c r="G37" s="757" t="s">
        <v>64</v>
      </c>
      <c r="H37" s="758">
        <v>3</v>
      </c>
      <c r="I37" s="798"/>
    </row>
    <row r="38" hidden="1" spans="1:10">
      <c r="A38" s="759" t="s">
        <v>84</v>
      </c>
      <c r="B38" s="759" t="s">
        <v>13</v>
      </c>
      <c r="C38" s="759" t="s">
        <v>83</v>
      </c>
      <c r="D38" s="759" t="s">
        <v>18</v>
      </c>
      <c r="E38" s="760" t="str">
        <f>HYPERLINK("#4!A5","4")</f>
        <v>4</v>
      </c>
      <c r="F38" s="761" t="str">
        <f>HYPERLINK("https://kaart.delfi.ee/?bookmark=521b80d6ceeefbe3e5d227267242b206","K-Järve spordihoone")</f>
        <v>K-Järve spordihoone</v>
      </c>
      <c r="G38" s="762" t="s">
        <v>64</v>
      </c>
      <c r="H38" s="763">
        <v>3</v>
      </c>
      <c r="I38" s="799"/>
      <c r="J38" s="256"/>
    </row>
    <row r="39" hidden="1" spans="1:9">
      <c r="A39" s="764" t="s">
        <v>85</v>
      </c>
      <c r="B39" s="765" t="s">
        <v>13</v>
      </c>
      <c r="C39" s="766" t="s">
        <v>86</v>
      </c>
      <c r="D39" s="765" t="s">
        <v>28</v>
      </c>
      <c r="E39" s="767"/>
      <c r="F39" s="768" t="str">
        <f>HYPERLINK("https://kaart.delfi.ee/?bookmark=2456dbce930692d81ec761beacb7a00a","Voka staadion")</f>
        <v>Voka staadion</v>
      </c>
      <c r="G39" s="765"/>
      <c r="H39" s="769">
        <v>0</v>
      </c>
      <c r="I39" s="800"/>
    </row>
    <row r="40" s="256" customFormat="1" spans="1:9">
      <c r="A40" s="770"/>
      <c r="B40" s="771"/>
      <c r="C40" s="266"/>
      <c r="D40" s="772"/>
      <c r="E40" s="523"/>
      <c r="F40" s="523"/>
      <c r="G40" s="771"/>
      <c r="H40" s="773"/>
      <c r="I40" s="801"/>
    </row>
    <row r="41" hidden="1" spans="1:9">
      <c r="A41" s="259" t="s">
        <v>87</v>
      </c>
      <c r="B41" s="260"/>
      <c r="C41" s="260"/>
      <c r="D41" s="260"/>
      <c r="E41" s="260"/>
      <c r="F41" s="260"/>
      <c r="G41" s="260"/>
      <c r="H41" s="774"/>
      <c r="I41" s="260"/>
    </row>
    <row r="42" hidden="1" spans="1:9">
      <c r="A42" s="775" t="s">
        <v>88</v>
      </c>
      <c r="B42" s="260"/>
      <c r="C42" s="260"/>
      <c r="D42" s="260"/>
      <c r="E42" s="260"/>
      <c r="F42" s="260"/>
      <c r="G42" s="260"/>
      <c r="H42" s="774"/>
      <c r="I42" s="260"/>
    </row>
    <row r="43" hidden="1" spans="1:9">
      <c r="A43" s="572" t="s">
        <v>89</v>
      </c>
      <c r="B43" s="572"/>
      <c r="C43" s="572"/>
      <c r="D43" s="572"/>
      <c r="E43" s="572"/>
      <c r="F43" s="572"/>
      <c r="G43" s="572"/>
      <c r="H43" s="776"/>
      <c r="I43" s="572"/>
    </row>
    <row r="44" spans="1:9">
      <c r="A44" s="572" t="s">
        <v>90</v>
      </c>
      <c r="B44" s="572"/>
      <c r="C44" s="572"/>
      <c r="D44" s="777" t="str">
        <f>HYPERLINK("https://webzone.ee/petank/juhendid/voka-kv-2024-juhend.pdf","Juhend")</f>
        <v>Juhend</v>
      </c>
      <c r="E44" s="396"/>
      <c r="F44" s="396"/>
      <c r="G44" s="396"/>
      <c r="H44" s="653"/>
      <c r="I44" s="396"/>
    </row>
    <row r="45" hidden="1" spans="1:15">
      <c r="A45" s="574" t="s">
        <v>91</v>
      </c>
      <c r="B45" s="396"/>
      <c r="C45" s="396"/>
      <c r="D45" s="646" t="str">
        <f>HYPERLINK("https://www.petanque.ee/juhendid/reitinguarvestus-2022/","Juhend")</f>
        <v>Juhend</v>
      </c>
      <c r="E45" s="396"/>
      <c r="F45" s="396"/>
      <c r="G45" s="396"/>
      <c r="H45" s="653"/>
      <c r="I45" s="396"/>
      <c r="J45" s="396"/>
      <c r="K45" s="396"/>
      <c r="L45" s="396"/>
      <c r="M45" s="576"/>
      <c r="N45" s="394"/>
      <c r="O45" s="394"/>
    </row>
    <row r="46" hidden="1" spans="1:15">
      <c r="A46" s="778" t="s">
        <v>92</v>
      </c>
      <c r="B46" s="396"/>
      <c r="C46" s="396"/>
      <c r="D46" s="396"/>
      <c r="E46" s="576"/>
      <c r="F46" s="576"/>
      <c r="G46" s="396"/>
      <c r="H46" s="653"/>
      <c r="I46" s="396"/>
      <c r="J46" s="396"/>
      <c r="K46" s="396"/>
      <c r="L46" s="396"/>
      <c r="N46" s="394"/>
      <c r="O46" s="394"/>
    </row>
    <row r="47" spans="1:9">
      <c r="A47" s="779" t="s">
        <v>93</v>
      </c>
      <c r="B47" s="260"/>
      <c r="C47" s="260"/>
      <c r="D47" s="260"/>
      <c r="E47" s="260"/>
      <c r="F47" s="260"/>
      <c r="G47" s="260"/>
      <c r="H47" s="774"/>
      <c r="I47" s="260"/>
    </row>
    <row r="48" spans="1:9">
      <c r="A48" s="260"/>
      <c r="B48" s="260"/>
      <c r="C48" s="260"/>
      <c r="D48" s="260"/>
      <c r="E48" s="260"/>
      <c r="F48" s="260"/>
      <c r="G48" s="260"/>
      <c r="H48" s="774"/>
      <c r="I48" s="260"/>
    </row>
  </sheetData>
  <conditionalFormatting sqref="I5:I33">
    <cfRule type="top10" dxfId="0" priority="1" stopIfTrue="1" rank="1"/>
  </conditionalFormatting>
  <pageMargins left="0.393700787401575" right="0.275590551181102" top="0.78740157480315" bottom="0.393700787401575" header="0.590551181102362" footer="0"/>
  <pageSetup paperSize="9" fitToHeight="0" orientation="portrait"/>
  <headerFooter>
    <oddHeader>&amp;R&amp;9Page &amp;P of &amp;N</oddHeader>
  </headerFooter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CCFFCC"/>
    <pageSetUpPr fitToPage="1"/>
  </sheetPr>
  <dimension ref="A1:AP313"/>
  <sheetViews>
    <sheetView showGridLines="0" showRowColHeaders="0" workbookViewId="0">
      <pane ySplit="1" topLeftCell="A2" activePane="bottomLeft" state="frozen"/>
      <selection/>
      <selection pane="bottomLeft" activeCell="A5" sqref="A5"/>
    </sheetView>
  </sheetViews>
  <sheetFormatPr defaultColWidth="9" defaultRowHeight="12.3"/>
  <cols>
    <col min="1" max="1" width="3.28828828828829" style="3" customWidth="1"/>
    <col min="2" max="2" width="30.5315315315315" style="3" customWidth="1"/>
    <col min="3" max="3" width="4.71171171171171" style="3" customWidth="1"/>
    <col min="4" max="4" width="1.14414414414414" style="3" customWidth="1"/>
    <col min="5" max="5" width="2.71171171171171" style="3" customWidth="1"/>
    <col min="6" max="6" width="9.14414414414414" style="3"/>
    <col min="7" max="7" width="2.71171171171171" style="3" customWidth="1"/>
    <col min="8" max="8" width="1.14414414414414" style="3" customWidth="1"/>
    <col min="9" max="9" width="2.71171171171171" style="3" customWidth="1"/>
    <col min="10" max="10" width="9.14414414414414" style="3"/>
    <col min="11" max="11" width="2.71171171171171" style="3" customWidth="1"/>
    <col min="12" max="12" width="1.14414414414414" style="3" customWidth="1"/>
    <col min="13" max="13" width="2.71171171171171" style="3" customWidth="1"/>
    <col min="14" max="14" width="9.14414414414414" style="3"/>
    <col min="15" max="15" width="2.71171171171171" style="3" customWidth="1"/>
    <col min="16" max="16" width="1.14414414414414" style="3" customWidth="1"/>
    <col min="17" max="17" width="2.71171171171171" style="3" customWidth="1"/>
    <col min="18" max="18" width="9.14414414414414" style="3"/>
    <col min="19" max="19" width="2.71171171171171" style="3" hidden="1" customWidth="1"/>
    <col min="20" max="20" width="1.14414414414414" style="3" hidden="1" customWidth="1"/>
    <col min="21" max="21" width="2.71171171171171" style="3" hidden="1" customWidth="1"/>
    <col min="22" max="22" width="9" style="3" hidden="1" customWidth="1"/>
    <col min="23" max="23" width="5.71171171171171" style="3" customWidth="1"/>
    <col min="24" max="24" width="5.56756756756757" style="3" customWidth="1"/>
    <col min="25" max="25" width="7.42342342342342" style="3" customWidth="1"/>
    <col min="26" max="26" width="2.71171171171171" style="3" customWidth="1"/>
    <col min="27" max="27" width="1.14414414414414" style="3" customWidth="1"/>
    <col min="28" max="28" width="2.71171171171171" style="3" customWidth="1"/>
    <col min="29" max="29" width="4.71171171171171" style="3" customWidth="1"/>
    <col min="30" max="31" width="9.14414414414414" style="3" hidden="1" customWidth="1"/>
    <col min="32" max="32" width="17" style="3" hidden="1" customWidth="1"/>
    <col min="33" max="33" width="9.14414414414414" style="3" hidden="1" customWidth="1"/>
    <col min="34" max="34" width="18.2882882882883" style="3" hidden="1" customWidth="1"/>
    <col min="35" max="35" width="9.14414414414414" style="3" hidden="1" customWidth="1"/>
    <col min="36" max="36" width="17.2882882882883" style="3" hidden="1" customWidth="1"/>
    <col min="37" max="37" width="9.14414414414414" style="3" hidden="1" customWidth="1"/>
    <col min="38" max="38" width="13.8558558558559" style="3" hidden="1" customWidth="1"/>
    <col min="39" max="39" width="9.14414414414414" style="3" hidden="1" customWidth="1"/>
    <col min="40" max="40" width="17.2882882882883" style="3" hidden="1" customWidth="1"/>
    <col min="41" max="41" width="9.14414414414414" style="3" hidden="1" customWidth="1"/>
    <col min="42" max="42" width="13.8558558558559" style="3" hidden="1" customWidth="1"/>
    <col min="43" max="16384" width="9.14414414414414" style="3"/>
  </cols>
  <sheetData>
    <row r="1" spans="1:42">
      <c r="A1" s="4" t="str">
        <f>UPPER((Kalend!E14)&amp;" - "&amp;(Kalend!C14))&amp;" - "&amp;LOWER(Kalend!D14)&amp;" - "&amp;(Kalend!A14)&amp;" kell "&amp;(Kalend!B14)&amp;" - "&amp;(Kalend!F14)</f>
        <v>V4 - VOKA XI KV 4. ETAPP - duo - T, 18.06.2024 kell 18:00 - Voka staadion</v>
      </c>
      <c r="O1" s="6"/>
      <c r="P1" s="6"/>
      <c r="Q1" s="20"/>
      <c r="R1" s="20"/>
      <c r="S1" s="20"/>
      <c r="T1" s="21"/>
      <c r="U1" s="21"/>
      <c r="V1" s="21"/>
      <c r="W1" s="6"/>
      <c r="X1" s="22"/>
      <c r="Y1" s="6"/>
      <c r="Z1" s="6"/>
      <c r="AD1" s="30" t="s">
        <v>149</v>
      </c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47"/>
      <c r="AP1" s="47"/>
    </row>
    <row r="2" spans="1:40">
      <c r="A2" s="5"/>
      <c r="F2" s="6"/>
      <c r="L2" s="19"/>
      <c r="M2" s="19"/>
      <c r="N2" s="19"/>
      <c r="O2" s="6"/>
      <c r="P2" s="6"/>
      <c r="Q2" s="6"/>
      <c r="R2" s="23" t="s">
        <v>322</v>
      </c>
      <c r="S2" s="6"/>
      <c r="T2" s="19"/>
      <c r="U2" s="19"/>
      <c r="V2" s="19"/>
      <c r="W2" s="24">
        <v>1</v>
      </c>
      <c r="X2" s="6" t="s">
        <v>323</v>
      </c>
      <c r="Y2" s="6"/>
      <c r="Z2" s="6"/>
      <c r="AA2" s="6"/>
      <c r="AB2" s="6"/>
      <c r="AE2" s="6"/>
      <c r="AG2" s="6"/>
      <c r="AH2" s="6"/>
      <c r="AI2" s="6"/>
      <c r="AJ2" s="6"/>
      <c r="AK2" s="6"/>
      <c r="AL2" s="6"/>
      <c r="AM2" s="6"/>
      <c r="AN2" s="6"/>
    </row>
    <row r="3" spans="1:42">
      <c r="A3" s="5"/>
      <c r="F3" s="6"/>
      <c r="L3" s="6"/>
      <c r="M3" s="6"/>
      <c r="N3" s="6"/>
      <c r="O3" s="6"/>
      <c r="P3" s="6"/>
      <c r="Q3" s="6"/>
      <c r="R3" s="25" t="s">
        <v>324</v>
      </c>
      <c r="S3" s="6"/>
      <c r="T3" s="6"/>
      <c r="U3" s="6"/>
      <c r="V3" s="6"/>
      <c r="W3" s="24">
        <v>0.5</v>
      </c>
      <c r="X3" s="6" t="s">
        <v>325</v>
      </c>
      <c r="Y3" s="6"/>
      <c r="Z3" s="6"/>
      <c r="AA3" s="6"/>
      <c r="AB3" s="6"/>
      <c r="AE3" s="19"/>
      <c r="AF3" s="19"/>
      <c r="AG3" s="19"/>
      <c r="AH3" s="44"/>
      <c r="AI3" s="19"/>
      <c r="AJ3" s="19"/>
      <c r="AK3" s="19"/>
      <c r="AL3" s="19"/>
      <c r="AM3" s="19"/>
      <c r="AN3" s="19"/>
      <c r="AO3" s="19"/>
      <c r="AP3" s="19"/>
    </row>
    <row r="4" spans="6:28">
      <c r="F4" s="6"/>
      <c r="L4" s="6"/>
      <c r="M4" s="6"/>
      <c r="N4" s="6"/>
      <c r="O4" s="6"/>
      <c r="P4" s="6"/>
      <c r="Q4" s="6"/>
      <c r="R4" s="26" t="s">
        <v>326</v>
      </c>
      <c r="S4" s="6"/>
      <c r="T4" s="6"/>
      <c r="U4" s="6"/>
      <c r="V4" s="6"/>
      <c r="W4" s="24">
        <v>0</v>
      </c>
      <c r="X4" s="6" t="s">
        <v>325</v>
      </c>
      <c r="Y4" s="6"/>
      <c r="Z4" s="6"/>
      <c r="AA4" s="6"/>
      <c r="AB4" s="6"/>
    </row>
    <row r="5" spans="6:30">
      <c r="F5" s="6"/>
      <c r="L5" s="6"/>
      <c r="M5" s="6"/>
      <c r="N5" s="6"/>
      <c r="O5" s="6"/>
      <c r="P5" s="6"/>
      <c r="Q5" s="6"/>
      <c r="R5" s="6"/>
      <c r="S5" s="6"/>
      <c r="T5" s="6"/>
      <c r="U5" s="6"/>
      <c r="W5" s="6"/>
      <c r="X5" s="6"/>
      <c r="Y5" s="6"/>
      <c r="Z5" s="6"/>
      <c r="AA5" s="6"/>
      <c r="AB5" s="32" t="s">
        <v>327</v>
      </c>
      <c r="AD5" s="33" t="s">
        <v>328</v>
      </c>
    </row>
    <row r="6" spans="1:42">
      <c r="A6" s="7" t="s">
        <v>329</v>
      </c>
      <c r="B6" s="7" t="s">
        <v>180</v>
      </c>
      <c r="C6" s="8" t="s">
        <v>330</v>
      </c>
      <c r="D6" s="9"/>
      <c r="E6" s="9"/>
      <c r="F6" s="10"/>
      <c r="G6" s="8" t="s">
        <v>331</v>
      </c>
      <c r="H6" s="9"/>
      <c r="I6" s="9"/>
      <c r="J6" s="10"/>
      <c r="K6" s="8" t="s">
        <v>332</v>
      </c>
      <c r="L6" s="9"/>
      <c r="M6" s="9"/>
      <c r="N6" s="10"/>
      <c r="O6" s="8" t="s">
        <v>333</v>
      </c>
      <c r="P6" s="9"/>
      <c r="Q6" s="9"/>
      <c r="R6" s="10"/>
      <c r="S6" s="8" t="s">
        <v>334</v>
      </c>
      <c r="T6" s="9"/>
      <c r="U6" s="9"/>
      <c r="V6" s="10"/>
      <c r="W6" s="7" t="s">
        <v>162</v>
      </c>
      <c r="X6" s="27" t="s">
        <v>335</v>
      </c>
      <c r="Y6" s="7" t="s">
        <v>336</v>
      </c>
      <c r="Z6" s="27"/>
      <c r="AA6" s="34" t="s">
        <v>337</v>
      </c>
      <c r="AB6" s="35"/>
      <c r="AC6" s="36" t="s">
        <v>338</v>
      </c>
      <c r="AD6" s="37" t="s">
        <v>168</v>
      </c>
      <c r="AE6" s="38"/>
      <c r="AF6" s="38" t="s">
        <v>339</v>
      </c>
      <c r="AG6" s="38"/>
      <c r="AH6" s="45" t="s">
        <v>340</v>
      </c>
      <c r="AI6" s="38"/>
      <c r="AJ6" s="38" t="s">
        <v>341</v>
      </c>
      <c r="AK6" s="46"/>
      <c r="AL6" s="38" t="s">
        <v>342</v>
      </c>
      <c r="AM6" s="46"/>
      <c r="AN6" s="46" t="s">
        <v>343</v>
      </c>
      <c r="AO6" s="48"/>
      <c r="AP6" s="46" t="s">
        <v>344</v>
      </c>
    </row>
    <row r="7" spans="1:42">
      <c r="A7" s="11">
        <v>1</v>
      </c>
      <c r="B7" s="12" t="s">
        <v>387</v>
      </c>
      <c r="C7" s="13">
        <v>13</v>
      </c>
      <c r="D7" s="14" t="s">
        <v>346</v>
      </c>
      <c r="E7" s="14">
        <v>8</v>
      </c>
      <c r="F7" s="15" t="s">
        <v>355</v>
      </c>
      <c r="G7" s="13">
        <v>13</v>
      </c>
      <c r="H7" s="14" t="s">
        <v>346</v>
      </c>
      <c r="I7" s="14">
        <v>3</v>
      </c>
      <c r="J7" s="15" t="s">
        <v>366</v>
      </c>
      <c r="K7" s="13">
        <v>13</v>
      </c>
      <c r="L7" s="14" t="s">
        <v>346</v>
      </c>
      <c r="M7" s="14">
        <v>3</v>
      </c>
      <c r="N7" s="15" t="s">
        <v>363</v>
      </c>
      <c r="O7" s="13">
        <v>11</v>
      </c>
      <c r="P7" s="14" t="s">
        <v>346</v>
      </c>
      <c r="Q7" s="14">
        <v>6</v>
      </c>
      <c r="R7" s="15" t="s">
        <v>348</v>
      </c>
      <c r="S7" s="13"/>
      <c r="T7" s="14"/>
      <c r="U7" s="14"/>
      <c r="V7" s="15"/>
      <c r="W7" s="28">
        <f t="shared" ref="W7:W20" si="0">IF(C7&gt;E7,W$2,IF(C7&lt;E7,W$4,IF(ISNUMBER(C7),W$3,0)))+IF(G7&gt;I7,W$2,IF(G7&lt;I7,W$4,IF(ISNUMBER(G7),W$3,0)))+IF(K7&gt;M7,W$2,IF(K7&lt;M7,W$4,IF(ISNUMBER(K7),W$3,0)))+IF(O7&gt;Q7,W$2,IF(O7&lt;Q7,W$4,IF(ISNUMBER(O7),W$3,0)))+IF(S7&gt;U7,W$2,IF(S7&lt;U7,W$4,IF(ISNUMBER(S7),W$3,0)))</f>
        <v>4</v>
      </c>
      <c r="X7" s="29">
        <v>16</v>
      </c>
      <c r="Y7" s="29">
        <v>74</v>
      </c>
      <c r="Z7" s="13">
        <f t="shared" ref="Z7:Z20" si="1">C7+G7+K7+O7+S7</f>
        <v>50</v>
      </c>
      <c r="AA7" s="14" t="s">
        <v>346</v>
      </c>
      <c r="AB7" s="39">
        <f t="shared" ref="AB7:AB20" si="2">E7+I7+M7+Q7+U7</f>
        <v>20</v>
      </c>
      <c r="AC7" s="40">
        <f t="shared" ref="AC7:AC20" si="3">Z7-AB7</f>
        <v>30</v>
      </c>
      <c r="AD7" s="41">
        <f t="shared" ref="AD7:AD10" si="4">SUM(AE7:AL7)</f>
        <v>244</v>
      </c>
      <c r="AE7" s="42">
        <f>IFERROR(INDEX(V!$R:$R,MATCH(AF7,V!$L:$L,0)),"")</f>
        <v>144</v>
      </c>
      <c r="AF7" s="43" t="str">
        <f t="shared" ref="AF7:AF20" si="5">IFERROR(LEFT($B7,(FIND(",",$B7,1)-1)),"")</f>
        <v>Oleg Rõndenkov</v>
      </c>
      <c r="AG7" s="42">
        <f>IFERROR(INDEX(V!$R:$R,MATCH(AH7,V!$L:$L,0)),"")</f>
        <v>100</v>
      </c>
      <c r="AH7" s="43" t="str">
        <f t="shared" ref="AH7:AH20" si="6">IFERROR(MID($B7,FIND(", ",$B7)+2,256),"")</f>
        <v>Urmas Jõeäär</v>
      </c>
      <c r="AI7" s="42" t="str">
        <f>IFERROR(INDEX(V!$R:$R,MATCH(AJ7,V!$L:$L,0)),"")</f>
        <v/>
      </c>
      <c r="AJ7" s="43" t="str">
        <f t="shared" ref="AJ7:AJ20" si="7">IFERROR(MID($B7,FIND("^",SUBSTITUTE($B7,", ","^",1))+2,FIND("^",SUBSTITUTE($B7,", ","^",2))-FIND("^",SUBSTITUTE($B7,", ","^",1))-2),"")</f>
        <v/>
      </c>
      <c r="AK7" s="42" t="str">
        <f>IFERROR(INDEX(V!$R:$R,MATCH(AL7,V!$L:$L,0)),"")</f>
        <v/>
      </c>
      <c r="AL7" s="43" t="str">
        <f t="shared" ref="AL7:AL20" si="8">IFERROR(MID($B7,FIND(", ",$B7,FIND(", ",$B7,FIND(", ",$B7))+1)+2,30000),"")</f>
        <v/>
      </c>
      <c r="AM7" s="42" t="str">
        <f>IFERROR(INDEX(V!$R:$R,MATCH(AN7,V!$L:$L,0)),"")</f>
        <v/>
      </c>
      <c r="AN7" s="43" t="str">
        <f t="shared" ref="AN7:AN20" si="9">IFERROR(MID($B7,FIND(", ",$B7,FIND(", ",$B7)+1)+2,FIND(", ",$B7,FIND(", ",$B7,FIND(", ",$B7)+1)+1)-FIND(", ",$B7,FIND(", ",$B7)+1)-2),"")</f>
        <v/>
      </c>
      <c r="AO7" s="42" t="str">
        <f>IFERROR(INDEX(V!$R:$R,MATCH(AP7,V!$L:$L,0)),"")</f>
        <v/>
      </c>
      <c r="AP7" s="43" t="str">
        <f t="shared" ref="AP7:AP20" si="10">IFERROR(MID($B7,FIND(", ",$B7,FIND(", ",$B7,FIND(", ",$B7)+1)+1)+2,30000),"")</f>
        <v/>
      </c>
    </row>
    <row r="8" spans="1:42">
      <c r="A8" s="11">
        <v>2</v>
      </c>
      <c r="B8" s="16" t="s">
        <v>348</v>
      </c>
      <c r="C8" s="13">
        <v>13</v>
      </c>
      <c r="D8" s="14" t="s">
        <v>346</v>
      </c>
      <c r="E8" s="14">
        <v>5</v>
      </c>
      <c r="F8" s="15" t="s">
        <v>347</v>
      </c>
      <c r="G8" s="13">
        <v>9</v>
      </c>
      <c r="H8" s="14" t="s">
        <v>346</v>
      </c>
      <c r="I8" s="14">
        <v>7</v>
      </c>
      <c r="J8" s="15" t="s">
        <v>349</v>
      </c>
      <c r="K8" s="13">
        <v>13</v>
      </c>
      <c r="L8" s="14" t="s">
        <v>346</v>
      </c>
      <c r="M8" s="14">
        <v>11</v>
      </c>
      <c r="N8" s="15" t="s">
        <v>359</v>
      </c>
      <c r="O8" s="13">
        <v>6</v>
      </c>
      <c r="P8" s="14" t="s">
        <v>346</v>
      </c>
      <c r="Q8" s="14">
        <v>11</v>
      </c>
      <c r="R8" s="15" t="s">
        <v>387</v>
      </c>
      <c r="S8" s="13"/>
      <c r="T8" s="14"/>
      <c r="U8" s="14"/>
      <c r="V8" s="15"/>
      <c r="W8" s="28">
        <f t="shared" si="0"/>
        <v>3</v>
      </c>
      <c r="X8" s="29">
        <v>20</v>
      </c>
      <c r="Y8" s="29">
        <v>66</v>
      </c>
      <c r="Z8" s="13">
        <f t="shared" si="1"/>
        <v>41</v>
      </c>
      <c r="AA8" s="14" t="s">
        <v>346</v>
      </c>
      <c r="AB8" s="39">
        <f t="shared" si="2"/>
        <v>34</v>
      </c>
      <c r="AC8" s="40">
        <f t="shared" si="3"/>
        <v>7</v>
      </c>
      <c r="AD8" s="41">
        <f t="shared" si="4"/>
        <v>246</v>
      </c>
      <c r="AE8" s="42">
        <f>IFERROR(INDEX(V!$R:$R,MATCH(AF8,V!$L:$L,0)),"")</f>
        <v>148</v>
      </c>
      <c r="AF8" s="43" t="str">
        <f t="shared" si="5"/>
        <v>Olav Türk</v>
      </c>
      <c r="AG8" s="42">
        <f>IFERROR(INDEX(V!$R:$R,MATCH(AH8,V!$L:$L,0)),"")</f>
        <v>98</v>
      </c>
      <c r="AH8" s="43" t="str">
        <f t="shared" si="6"/>
        <v>Sirje Maala</v>
      </c>
      <c r="AI8" s="42" t="str">
        <f>IFERROR(INDEX(V!$R:$R,MATCH(AJ8,V!$L:$L,0)),"")</f>
        <v/>
      </c>
      <c r="AJ8" s="43" t="str">
        <f t="shared" si="7"/>
        <v/>
      </c>
      <c r="AK8" s="42" t="str">
        <f>IFERROR(INDEX(V!$R:$R,MATCH(AL8,V!$L:$L,0)),"")</f>
        <v/>
      </c>
      <c r="AL8" s="43" t="str">
        <f t="shared" si="8"/>
        <v/>
      </c>
      <c r="AM8" s="42" t="str">
        <f>IFERROR(INDEX(V!$R:$R,MATCH(AN8,V!$L:$L,0)),"")</f>
        <v/>
      </c>
      <c r="AN8" s="43" t="str">
        <f t="shared" si="9"/>
        <v/>
      </c>
      <c r="AO8" s="42" t="str">
        <f>IFERROR(INDEX(V!$R:$R,MATCH(AP8,V!$L:$L,0)),"")</f>
        <v/>
      </c>
      <c r="AP8" s="43" t="str">
        <f t="shared" si="10"/>
        <v/>
      </c>
    </row>
    <row r="9" spans="1:42">
      <c r="A9" s="11">
        <v>3</v>
      </c>
      <c r="B9" s="17" t="s">
        <v>359</v>
      </c>
      <c r="C9" s="13">
        <v>13</v>
      </c>
      <c r="D9" s="14" t="s">
        <v>346</v>
      </c>
      <c r="E9" s="14">
        <v>4</v>
      </c>
      <c r="F9" s="15" t="s">
        <v>388</v>
      </c>
      <c r="G9" s="13">
        <v>13</v>
      </c>
      <c r="H9" s="14" t="s">
        <v>346</v>
      </c>
      <c r="I9" s="14">
        <v>8</v>
      </c>
      <c r="J9" s="15" t="s">
        <v>360</v>
      </c>
      <c r="K9" s="13">
        <v>11</v>
      </c>
      <c r="L9" s="14" t="s">
        <v>346</v>
      </c>
      <c r="M9" s="14">
        <v>13</v>
      </c>
      <c r="N9" s="15" t="s">
        <v>348</v>
      </c>
      <c r="O9" s="13">
        <v>13</v>
      </c>
      <c r="P9" s="14" t="s">
        <v>346</v>
      </c>
      <c r="Q9" s="14">
        <v>2</v>
      </c>
      <c r="R9" s="15" t="s">
        <v>349</v>
      </c>
      <c r="S9" s="13"/>
      <c r="T9" s="14"/>
      <c r="U9" s="14"/>
      <c r="V9" s="15"/>
      <c r="W9" s="28">
        <f t="shared" si="0"/>
        <v>3</v>
      </c>
      <c r="X9" s="29">
        <v>16</v>
      </c>
      <c r="Y9" s="29">
        <v>74</v>
      </c>
      <c r="Z9" s="13">
        <f t="shared" si="1"/>
        <v>50</v>
      </c>
      <c r="AA9" s="14" t="s">
        <v>346</v>
      </c>
      <c r="AB9" s="39">
        <f t="shared" si="2"/>
        <v>27</v>
      </c>
      <c r="AC9" s="40">
        <f t="shared" si="3"/>
        <v>23</v>
      </c>
      <c r="AD9" s="41">
        <f t="shared" si="4"/>
        <v>322</v>
      </c>
      <c r="AE9" s="42">
        <f>IFERROR(INDEX(V!$R:$R,MATCH(AF9,V!$L:$L,0)),"")</f>
        <v>146</v>
      </c>
      <c r="AF9" s="43" t="str">
        <f t="shared" si="5"/>
        <v>Kristel Tihhonjuk</v>
      </c>
      <c r="AG9" s="42">
        <f>IFERROR(INDEX(V!$R:$R,MATCH(AH9,V!$L:$L,0)),"")</f>
        <v>176</v>
      </c>
      <c r="AH9" s="43" t="str">
        <f t="shared" si="6"/>
        <v>Vadim Tihhonjuk</v>
      </c>
      <c r="AI9" s="42" t="str">
        <f>IFERROR(INDEX(V!$R:$R,MATCH(AJ9,V!$L:$L,0)),"")</f>
        <v/>
      </c>
      <c r="AJ9" s="43" t="str">
        <f t="shared" si="7"/>
        <v/>
      </c>
      <c r="AK9" s="42" t="str">
        <f>IFERROR(INDEX(V!$R:$R,MATCH(AL9,V!$L:$L,0)),"")</f>
        <v/>
      </c>
      <c r="AL9" s="43" t="str">
        <f t="shared" si="8"/>
        <v/>
      </c>
      <c r="AM9" s="42" t="str">
        <f>IFERROR(INDEX(V!$R:$R,MATCH(AN9,V!$L:$L,0)),"")</f>
        <v/>
      </c>
      <c r="AN9" s="43" t="str">
        <f t="shared" si="9"/>
        <v/>
      </c>
      <c r="AO9" s="42" t="str">
        <f>IFERROR(INDEX(V!$R:$R,MATCH(AP9,V!$L:$L,0)),"")</f>
        <v/>
      </c>
      <c r="AP9" s="43" t="str">
        <f t="shared" si="10"/>
        <v/>
      </c>
    </row>
    <row r="10" spans="1:42">
      <c r="A10" s="11">
        <v>4</v>
      </c>
      <c r="B10" s="17" t="s">
        <v>350</v>
      </c>
      <c r="C10" s="13">
        <v>11</v>
      </c>
      <c r="D10" s="14" t="s">
        <v>346</v>
      </c>
      <c r="E10" s="14">
        <v>12</v>
      </c>
      <c r="F10" s="15" t="s">
        <v>363</v>
      </c>
      <c r="G10" s="13">
        <v>13</v>
      </c>
      <c r="H10" s="14" t="s">
        <v>346</v>
      </c>
      <c r="I10" s="14">
        <v>10</v>
      </c>
      <c r="J10" s="15" t="s">
        <v>355</v>
      </c>
      <c r="K10" s="13">
        <v>13</v>
      </c>
      <c r="L10" s="14" t="s">
        <v>346</v>
      </c>
      <c r="M10" s="14">
        <v>2</v>
      </c>
      <c r="N10" s="15" t="s">
        <v>360</v>
      </c>
      <c r="O10" s="13">
        <v>12</v>
      </c>
      <c r="P10" s="14" t="s">
        <v>346</v>
      </c>
      <c r="Q10" s="14">
        <v>11</v>
      </c>
      <c r="R10" s="15" t="s">
        <v>388</v>
      </c>
      <c r="S10" s="13"/>
      <c r="T10" s="14"/>
      <c r="U10" s="14"/>
      <c r="V10" s="15"/>
      <c r="W10" s="28">
        <f t="shared" si="0"/>
        <v>3</v>
      </c>
      <c r="X10" s="29">
        <v>14</v>
      </c>
      <c r="Y10" s="29">
        <v>70</v>
      </c>
      <c r="Z10" s="13">
        <f t="shared" si="1"/>
        <v>49</v>
      </c>
      <c r="AA10" s="14" t="s">
        <v>346</v>
      </c>
      <c r="AB10" s="39">
        <f t="shared" si="2"/>
        <v>35</v>
      </c>
      <c r="AC10" s="40">
        <f t="shared" si="3"/>
        <v>14</v>
      </c>
      <c r="AD10" s="41">
        <f t="shared" si="4"/>
        <v>170</v>
      </c>
      <c r="AE10" s="42">
        <f>IFERROR(INDEX(V!$R:$R,MATCH(AF10,V!$L:$L,0)),"")</f>
        <v>112</v>
      </c>
      <c r="AF10" s="43" t="str">
        <f t="shared" si="5"/>
        <v>Jaan Sepp</v>
      </c>
      <c r="AG10" s="42">
        <f>IFERROR(INDEX(V!$R:$R,MATCH(AH10,V!$L:$L,0)),"")</f>
        <v>58</v>
      </c>
      <c r="AH10" s="43" t="str">
        <f t="shared" si="6"/>
        <v>Matti Vinni</v>
      </c>
      <c r="AI10" s="42" t="str">
        <f>IFERROR(INDEX(V!$R:$R,MATCH(AJ10,V!$L:$L,0)),"")</f>
        <v/>
      </c>
      <c r="AJ10" s="43" t="str">
        <f t="shared" si="7"/>
        <v/>
      </c>
      <c r="AK10" s="42" t="str">
        <f>IFERROR(INDEX(V!$R:$R,MATCH(AL10,V!$L:$L,0)),"")</f>
        <v/>
      </c>
      <c r="AL10" s="43" t="str">
        <f t="shared" si="8"/>
        <v/>
      </c>
      <c r="AM10" s="42" t="str">
        <f>IFERROR(INDEX(V!$R:$R,MATCH(AN10,V!$L:$L,0)),"")</f>
        <v/>
      </c>
      <c r="AN10" s="43" t="str">
        <f t="shared" si="9"/>
        <v/>
      </c>
      <c r="AO10" s="42" t="str">
        <f>IFERROR(INDEX(V!$R:$R,MATCH(AP10,V!$L:$L,0)),"")</f>
        <v/>
      </c>
      <c r="AP10" s="43" t="str">
        <f t="shared" si="10"/>
        <v/>
      </c>
    </row>
    <row r="11" spans="1:42">
      <c r="A11" s="11">
        <v>5</v>
      </c>
      <c r="B11" s="12" t="s">
        <v>375</v>
      </c>
      <c r="C11" s="13">
        <v>11</v>
      </c>
      <c r="D11" s="14" t="s">
        <v>346</v>
      </c>
      <c r="E11" s="14">
        <v>13</v>
      </c>
      <c r="F11" s="15" t="s">
        <v>349</v>
      </c>
      <c r="G11" s="13">
        <v>11</v>
      </c>
      <c r="H11" s="14" t="s">
        <v>346</v>
      </c>
      <c r="I11" s="14">
        <v>8</v>
      </c>
      <c r="J11" s="15" t="s">
        <v>361</v>
      </c>
      <c r="K11" s="13">
        <v>13</v>
      </c>
      <c r="L11" s="14" t="s">
        <v>346</v>
      </c>
      <c r="M11" s="14">
        <v>8</v>
      </c>
      <c r="N11" s="15" t="s">
        <v>366</v>
      </c>
      <c r="O11" s="13">
        <v>13</v>
      </c>
      <c r="P11" s="14" t="s">
        <v>346</v>
      </c>
      <c r="Q11" s="14">
        <v>12</v>
      </c>
      <c r="R11" s="15" t="s">
        <v>363</v>
      </c>
      <c r="S11" s="13"/>
      <c r="T11" s="14"/>
      <c r="U11" s="14"/>
      <c r="V11" s="15"/>
      <c r="W11" s="28">
        <f t="shared" si="0"/>
        <v>3</v>
      </c>
      <c r="X11" s="29">
        <v>12</v>
      </c>
      <c r="Y11" s="29">
        <v>70</v>
      </c>
      <c r="Z11" s="13">
        <f t="shared" si="1"/>
        <v>48</v>
      </c>
      <c r="AA11" s="14" t="s">
        <v>346</v>
      </c>
      <c r="AB11" s="39">
        <f t="shared" si="2"/>
        <v>41</v>
      </c>
      <c r="AC11" s="40">
        <f t="shared" si="3"/>
        <v>7</v>
      </c>
      <c r="AD11" s="41">
        <f t="shared" ref="AD11:AD13" si="11">SUM(AE11:AL11)</f>
        <v>158</v>
      </c>
      <c r="AE11" s="42">
        <f>IFERROR(INDEX(V!$R:$R,MATCH(AF11,V!$L:$L,0)),"")</f>
        <v>98</v>
      </c>
      <c r="AF11" s="43" t="str">
        <f t="shared" si="5"/>
        <v>Marko Rooden</v>
      </c>
      <c r="AG11" s="42">
        <f>IFERROR(INDEX(V!$R:$R,MATCH(AH11,V!$L:$L,0)),"")</f>
        <v>60</v>
      </c>
      <c r="AH11" s="43" t="str">
        <f t="shared" si="6"/>
        <v>Martin Kuusmann</v>
      </c>
      <c r="AI11" s="42" t="str">
        <f>IFERROR(INDEX(V!$R:$R,MATCH(AJ11,V!$L:$L,0)),"")</f>
        <v/>
      </c>
      <c r="AJ11" s="43" t="str">
        <f t="shared" si="7"/>
        <v/>
      </c>
      <c r="AK11" s="42" t="str">
        <f>IFERROR(INDEX(V!$R:$R,MATCH(AL11,V!$L:$L,0)),"")</f>
        <v/>
      </c>
      <c r="AL11" s="43" t="str">
        <f t="shared" si="8"/>
        <v/>
      </c>
      <c r="AM11" s="42" t="str">
        <f>IFERROR(INDEX(V!$R:$R,MATCH(AN11,V!$L:$L,0)),"")</f>
        <v/>
      </c>
      <c r="AN11" s="43" t="str">
        <f t="shared" si="9"/>
        <v/>
      </c>
      <c r="AO11" s="42" t="str">
        <f>IFERROR(INDEX(V!$R:$R,MATCH(AP11,V!$L:$L,0)),"")</f>
        <v/>
      </c>
      <c r="AP11" s="43" t="str">
        <f t="shared" si="10"/>
        <v/>
      </c>
    </row>
    <row r="12" spans="1:42">
      <c r="A12" s="11">
        <v>6</v>
      </c>
      <c r="B12" s="17" t="s">
        <v>349</v>
      </c>
      <c r="C12" s="13">
        <v>13</v>
      </c>
      <c r="D12" s="14" t="s">
        <v>346</v>
      </c>
      <c r="E12" s="14">
        <v>11</v>
      </c>
      <c r="F12" s="15" t="s">
        <v>375</v>
      </c>
      <c r="G12" s="13">
        <v>7</v>
      </c>
      <c r="H12" s="14" t="s">
        <v>346</v>
      </c>
      <c r="I12" s="14">
        <v>9</v>
      </c>
      <c r="J12" s="15" t="s">
        <v>348</v>
      </c>
      <c r="K12" s="13">
        <v>13</v>
      </c>
      <c r="L12" s="14" t="s">
        <v>346</v>
      </c>
      <c r="M12" s="14">
        <v>6</v>
      </c>
      <c r="N12" s="15" t="s">
        <v>388</v>
      </c>
      <c r="O12" s="13">
        <v>2</v>
      </c>
      <c r="P12" s="14" t="s">
        <v>346</v>
      </c>
      <c r="Q12" s="14">
        <v>13</v>
      </c>
      <c r="R12" s="15" t="s">
        <v>359</v>
      </c>
      <c r="S12" s="13"/>
      <c r="T12" s="14"/>
      <c r="U12" s="14"/>
      <c r="V12" s="15"/>
      <c r="W12" s="28">
        <f t="shared" si="0"/>
        <v>2</v>
      </c>
      <c r="X12" s="29">
        <v>20</v>
      </c>
      <c r="Y12" s="29">
        <v>66</v>
      </c>
      <c r="Z12" s="13">
        <f t="shared" si="1"/>
        <v>35</v>
      </c>
      <c r="AA12" s="14" t="s">
        <v>346</v>
      </c>
      <c r="AB12" s="39">
        <f t="shared" si="2"/>
        <v>39</v>
      </c>
      <c r="AC12" s="40">
        <f t="shared" si="3"/>
        <v>-4</v>
      </c>
      <c r="AD12" s="41">
        <f t="shared" si="11"/>
        <v>186</v>
      </c>
      <c r="AE12" s="42">
        <f>IFERROR(INDEX(V!$R:$R,MATCH(AF12,V!$L:$L,0)),"")</f>
        <v>104</v>
      </c>
      <c r="AF12" s="43" t="str">
        <f t="shared" si="5"/>
        <v>Andres Veski</v>
      </c>
      <c r="AG12" s="42">
        <f>IFERROR(INDEX(V!$R:$R,MATCH(AH12,V!$L:$L,0)),"")</f>
        <v>82</v>
      </c>
      <c r="AH12" s="43" t="str">
        <f t="shared" si="6"/>
        <v>Svetlana Veski</v>
      </c>
      <c r="AI12" s="42" t="str">
        <f>IFERROR(INDEX(V!$R:$R,MATCH(AJ12,V!$L:$L,0)),"")</f>
        <v/>
      </c>
      <c r="AJ12" s="43" t="str">
        <f t="shared" si="7"/>
        <v/>
      </c>
      <c r="AK12" s="42" t="str">
        <f>IFERROR(INDEX(V!$R:$R,MATCH(AL12,V!$L:$L,0)),"")</f>
        <v/>
      </c>
      <c r="AL12" s="43" t="str">
        <f t="shared" si="8"/>
        <v/>
      </c>
      <c r="AM12" s="42" t="str">
        <f>IFERROR(INDEX(V!$R:$R,MATCH(AN12,V!$L:$L,0)),"")</f>
        <v/>
      </c>
      <c r="AN12" s="43" t="str">
        <f t="shared" si="9"/>
        <v/>
      </c>
      <c r="AO12" s="42" t="str">
        <f>IFERROR(INDEX(V!$R:$R,MATCH(AP12,V!$L:$L,0)),"")</f>
        <v/>
      </c>
      <c r="AP12" s="43" t="str">
        <f t="shared" si="10"/>
        <v/>
      </c>
    </row>
    <row r="13" spans="1:42">
      <c r="A13" s="11">
        <v>7</v>
      </c>
      <c r="B13" s="18" t="s">
        <v>363</v>
      </c>
      <c r="C13" s="13">
        <v>12</v>
      </c>
      <c r="D13" s="14" t="s">
        <v>346</v>
      </c>
      <c r="E13" s="14">
        <v>11</v>
      </c>
      <c r="F13" s="15" t="s">
        <v>350</v>
      </c>
      <c r="G13" s="13">
        <v>10</v>
      </c>
      <c r="H13" s="14" t="s">
        <v>346</v>
      </c>
      <c r="I13" s="14">
        <v>9</v>
      </c>
      <c r="J13" s="15" t="s">
        <v>353</v>
      </c>
      <c r="K13" s="13">
        <v>3</v>
      </c>
      <c r="L13" s="14" t="s">
        <v>346</v>
      </c>
      <c r="M13" s="14">
        <v>13</v>
      </c>
      <c r="N13" s="15" t="s">
        <v>387</v>
      </c>
      <c r="O13" s="13">
        <v>12</v>
      </c>
      <c r="P13" s="14" t="s">
        <v>346</v>
      </c>
      <c r="Q13" s="14">
        <v>13</v>
      </c>
      <c r="R13" s="15" t="s">
        <v>375</v>
      </c>
      <c r="S13" s="13"/>
      <c r="T13" s="14"/>
      <c r="U13" s="14"/>
      <c r="V13" s="15"/>
      <c r="W13" s="28">
        <f t="shared" si="0"/>
        <v>2</v>
      </c>
      <c r="X13" s="29">
        <v>20</v>
      </c>
      <c r="Y13" s="29">
        <v>54</v>
      </c>
      <c r="Z13" s="13">
        <f t="shared" si="1"/>
        <v>37</v>
      </c>
      <c r="AA13" s="14" t="s">
        <v>346</v>
      </c>
      <c r="AB13" s="39">
        <f t="shared" si="2"/>
        <v>46</v>
      </c>
      <c r="AC13" s="40">
        <f t="shared" si="3"/>
        <v>-9</v>
      </c>
      <c r="AD13" s="41">
        <f t="shared" si="11"/>
        <v>184</v>
      </c>
      <c r="AE13" s="42">
        <f>IFERROR(INDEX(V!$R:$R,MATCH(AF13,V!$L:$L,0)),"")</f>
        <v>96</v>
      </c>
      <c r="AF13" s="43" t="str">
        <f t="shared" si="5"/>
        <v>Andrei Grintšak</v>
      </c>
      <c r="AG13" s="42">
        <f>IFERROR(INDEX(V!$R:$R,MATCH(AH13,V!$L:$L,0)),"")</f>
        <v>88</v>
      </c>
      <c r="AH13" s="43" t="str">
        <f t="shared" si="6"/>
        <v>Enn Tokman</v>
      </c>
      <c r="AI13" s="42" t="str">
        <f>IFERROR(INDEX(V!$R:$R,MATCH(AJ13,V!$L:$L,0)),"")</f>
        <v/>
      </c>
      <c r="AJ13" s="43" t="str">
        <f t="shared" si="7"/>
        <v/>
      </c>
      <c r="AK13" s="42" t="str">
        <f>IFERROR(INDEX(V!$R:$R,MATCH(AL13,V!$L:$L,0)),"")</f>
        <v/>
      </c>
      <c r="AL13" s="43" t="str">
        <f t="shared" si="8"/>
        <v/>
      </c>
      <c r="AM13" s="42" t="str">
        <f>IFERROR(INDEX(V!$R:$R,MATCH(AN13,V!$L:$L,0)),"")</f>
        <v/>
      </c>
      <c r="AN13" s="43" t="str">
        <f t="shared" si="9"/>
        <v/>
      </c>
      <c r="AO13" s="42" t="str">
        <f>IFERROR(INDEX(V!$R:$R,MATCH(AP13,V!$L:$L,0)),"")</f>
        <v/>
      </c>
      <c r="AP13" s="43" t="str">
        <f t="shared" si="10"/>
        <v/>
      </c>
    </row>
    <row r="14" spans="1:42">
      <c r="A14" s="11">
        <v>8</v>
      </c>
      <c r="B14" s="18" t="s">
        <v>355</v>
      </c>
      <c r="C14" s="13">
        <v>8</v>
      </c>
      <c r="D14" s="14" t="s">
        <v>346</v>
      </c>
      <c r="E14" s="14">
        <v>13</v>
      </c>
      <c r="F14" s="15" t="s">
        <v>387</v>
      </c>
      <c r="G14" s="13">
        <v>10</v>
      </c>
      <c r="H14" s="14" t="s">
        <v>346</v>
      </c>
      <c r="I14" s="14">
        <v>13</v>
      </c>
      <c r="J14" s="15" t="s">
        <v>350</v>
      </c>
      <c r="K14" s="13">
        <v>13</v>
      </c>
      <c r="L14" s="14" t="s">
        <v>346</v>
      </c>
      <c r="M14" s="14">
        <v>4</v>
      </c>
      <c r="N14" s="15" t="s">
        <v>353</v>
      </c>
      <c r="O14" s="13">
        <v>13</v>
      </c>
      <c r="P14" s="14" t="s">
        <v>346</v>
      </c>
      <c r="Q14" s="14">
        <v>1</v>
      </c>
      <c r="R14" s="15" t="s">
        <v>366</v>
      </c>
      <c r="S14" s="13"/>
      <c r="T14" s="14"/>
      <c r="U14" s="14"/>
      <c r="V14" s="15"/>
      <c r="W14" s="28">
        <f t="shared" si="0"/>
        <v>2</v>
      </c>
      <c r="X14" s="29">
        <v>16</v>
      </c>
      <c r="Y14" s="29">
        <v>60</v>
      </c>
      <c r="Z14" s="13">
        <f t="shared" si="1"/>
        <v>44</v>
      </c>
      <c r="AA14" s="14" t="s">
        <v>346</v>
      </c>
      <c r="AB14" s="39">
        <f t="shared" si="2"/>
        <v>31</v>
      </c>
      <c r="AC14" s="40">
        <f t="shared" si="3"/>
        <v>13</v>
      </c>
      <c r="AD14" s="41">
        <f t="shared" ref="AD14:AD15" si="12">SUM(AE14:AL14)</f>
        <v>132</v>
      </c>
      <c r="AE14" s="42">
        <f>IFERROR(INDEX(V!$R:$R,MATCH(AF14,V!$L:$L,0)),"")</f>
        <v>72</v>
      </c>
      <c r="AF14" s="43" t="str">
        <f t="shared" si="5"/>
        <v>Hillar Neiland</v>
      </c>
      <c r="AG14" s="42">
        <f>IFERROR(INDEX(V!$R:$R,MATCH(AH14,V!$L:$L,0)),"")</f>
        <v>60</v>
      </c>
      <c r="AH14" s="43" t="str">
        <f t="shared" si="6"/>
        <v>Kaspar Mänd</v>
      </c>
      <c r="AI14" s="42" t="str">
        <f>IFERROR(INDEX(V!$R:$R,MATCH(AJ14,V!$L:$L,0)),"")</f>
        <v/>
      </c>
      <c r="AJ14" s="43" t="str">
        <f t="shared" si="7"/>
        <v/>
      </c>
      <c r="AK14" s="42" t="str">
        <f>IFERROR(INDEX(V!$R:$R,MATCH(AL14,V!$L:$L,0)),"")</f>
        <v/>
      </c>
      <c r="AL14" s="43" t="str">
        <f t="shared" si="8"/>
        <v/>
      </c>
      <c r="AM14" s="42" t="str">
        <f>IFERROR(INDEX(V!$R:$R,MATCH(AN14,V!$L:$L,0)),"")</f>
        <v/>
      </c>
      <c r="AN14" s="43" t="str">
        <f t="shared" si="9"/>
        <v/>
      </c>
      <c r="AO14" s="42" t="str">
        <f>IFERROR(INDEX(V!$R:$R,MATCH(AP14,V!$L:$L,0)),"")</f>
        <v/>
      </c>
      <c r="AP14" s="43" t="str">
        <f t="shared" si="10"/>
        <v/>
      </c>
    </row>
    <row r="15" spans="1:42">
      <c r="A15" s="11">
        <v>9</v>
      </c>
      <c r="B15" s="17" t="s">
        <v>360</v>
      </c>
      <c r="C15" s="13">
        <v>13</v>
      </c>
      <c r="D15" s="14" t="s">
        <v>346</v>
      </c>
      <c r="E15" s="14">
        <v>5</v>
      </c>
      <c r="F15" s="15" t="s">
        <v>361</v>
      </c>
      <c r="G15" s="13">
        <v>8</v>
      </c>
      <c r="H15" s="14" t="s">
        <v>346</v>
      </c>
      <c r="I15" s="14">
        <v>13</v>
      </c>
      <c r="J15" s="15" t="s">
        <v>359</v>
      </c>
      <c r="K15" s="13">
        <v>2</v>
      </c>
      <c r="L15" s="14" t="s">
        <v>346</v>
      </c>
      <c r="M15" s="14">
        <v>13</v>
      </c>
      <c r="N15" s="15" t="s">
        <v>350</v>
      </c>
      <c r="O15" s="13">
        <v>13</v>
      </c>
      <c r="P15" s="14" t="s">
        <v>346</v>
      </c>
      <c r="Q15" s="14">
        <v>11</v>
      </c>
      <c r="R15" s="15" t="s">
        <v>347</v>
      </c>
      <c r="S15" s="13"/>
      <c r="T15" s="14"/>
      <c r="U15" s="14"/>
      <c r="V15" s="15"/>
      <c r="W15" s="28">
        <f t="shared" si="0"/>
        <v>2</v>
      </c>
      <c r="X15" s="29">
        <v>16</v>
      </c>
      <c r="Y15" s="29">
        <v>56</v>
      </c>
      <c r="Z15" s="13">
        <f t="shared" si="1"/>
        <v>36</v>
      </c>
      <c r="AA15" s="14" t="s">
        <v>346</v>
      </c>
      <c r="AB15" s="39">
        <f t="shared" si="2"/>
        <v>42</v>
      </c>
      <c r="AC15" s="40">
        <f t="shared" si="3"/>
        <v>-6</v>
      </c>
      <c r="AD15" s="41">
        <f t="shared" si="12"/>
        <v>292</v>
      </c>
      <c r="AE15" s="42">
        <f>IFERROR(INDEX(V!$R:$R,MATCH(AF15,V!$L:$L,0)),"")</f>
        <v>146</v>
      </c>
      <c r="AF15" s="43" t="str">
        <f t="shared" si="5"/>
        <v>Meelis Luud</v>
      </c>
      <c r="AG15" s="42">
        <f>IFERROR(INDEX(V!$R:$R,MATCH(AH15,V!$L:$L,0)),"")</f>
        <v>146</v>
      </c>
      <c r="AH15" s="43" t="str">
        <f t="shared" si="6"/>
        <v>Sander Rose</v>
      </c>
      <c r="AI15" s="42" t="str">
        <f>IFERROR(INDEX(V!$R:$R,MATCH(AJ15,V!$L:$L,0)),"")</f>
        <v/>
      </c>
      <c r="AJ15" s="43" t="str">
        <f t="shared" si="7"/>
        <v/>
      </c>
      <c r="AK15" s="42" t="str">
        <f>IFERROR(INDEX(V!$R:$R,MATCH(AL15,V!$L:$L,0)),"")</f>
        <v/>
      </c>
      <c r="AL15" s="43" t="str">
        <f t="shared" si="8"/>
        <v/>
      </c>
      <c r="AM15" s="42" t="str">
        <f>IFERROR(INDEX(V!$R:$R,MATCH(AN15,V!$L:$L,0)),"")</f>
        <v/>
      </c>
      <c r="AN15" s="43" t="str">
        <f t="shared" si="9"/>
        <v/>
      </c>
      <c r="AO15" s="42" t="str">
        <f>IFERROR(INDEX(V!$R:$R,MATCH(AP15,V!$L:$L,0)),"")</f>
        <v/>
      </c>
      <c r="AP15" s="43" t="str">
        <f t="shared" si="10"/>
        <v/>
      </c>
    </row>
    <row r="16" spans="1:42">
      <c r="A16" s="11">
        <v>10</v>
      </c>
      <c r="B16" s="18" t="s">
        <v>388</v>
      </c>
      <c r="C16" s="13">
        <v>4</v>
      </c>
      <c r="D16" s="14" t="s">
        <v>346</v>
      </c>
      <c r="E16" s="14">
        <v>13</v>
      </c>
      <c r="F16" s="15" t="s">
        <v>359</v>
      </c>
      <c r="G16" s="13">
        <v>13</v>
      </c>
      <c r="H16" s="14" t="s">
        <v>346</v>
      </c>
      <c r="I16" s="14">
        <v>7</v>
      </c>
      <c r="J16" s="15" t="s">
        <v>347</v>
      </c>
      <c r="K16" s="13">
        <v>6</v>
      </c>
      <c r="L16" s="14" t="s">
        <v>346</v>
      </c>
      <c r="M16" s="14">
        <v>13</v>
      </c>
      <c r="N16" s="15" t="s">
        <v>349</v>
      </c>
      <c r="O16" s="13">
        <v>11</v>
      </c>
      <c r="P16" s="14" t="s">
        <v>346</v>
      </c>
      <c r="Q16" s="14">
        <v>12</v>
      </c>
      <c r="R16" s="15" t="s">
        <v>350</v>
      </c>
      <c r="S16" s="13"/>
      <c r="T16" s="14"/>
      <c r="U16" s="14"/>
      <c r="V16" s="15"/>
      <c r="W16" s="28">
        <f t="shared" si="0"/>
        <v>1</v>
      </c>
      <c r="X16" s="29">
        <v>18</v>
      </c>
      <c r="Y16" s="29">
        <v>64</v>
      </c>
      <c r="Z16" s="13">
        <f t="shared" si="1"/>
        <v>34</v>
      </c>
      <c r="AA16" s="14" t="s">
        <v>346</v>
      </c>
      <c r="AB16" s="39">
        <f t="shared" si="2"/>
        <v>45</v>
      </c>
      <c r="AC16" s="40">
        <f t="shared" si="3"/>
        <v>-11</v>
      </c>
      <c r="AD16" s="41">
        <f t="shared" ref="AD16:AD19" si="13">SUM(AE16:AL16)</f>
        <v>156</v>
      </c>
      <c r="AE16" s="42">
        <f>IFERROR(INDEX(V!$R:$R,MATCH(AF16,V!$L:$L,0)),"")</f>
        <v>78</v>
      </c>
      <c r="AF16" s="43" t="str">
        <f t="shared" si="5"/>
        <v>Sander Aul</v>
      </c>
      <c r="AG16" s="42">
        <f>IFERROR(INDEX(V!$R:$R,MATCH(AH16,V!$L:$L,0)),"")</f>
        <v>78</v>
      </c>
      <c r="AH16" s="43" t="str">
        <f t="shared" si="6"/>
        <v>Väino Aul</v>
      </c>
      <c r="AI16" s="42" t="str">
        <f>IFERROR(INDEX(V!$R:$R,MATCH(AJ16,V!$L:$L,0)),"")</f>
        <v/>
      </c>
      <c r="AJ16" s="43" t="str">
        <f t="shared" si="7"/>
        <v/>
      </c>
      <c r="AK16" s="42" t="str">
        <f>IFERROR(INDEX(V!$R:$R,MATCH(AL16,V!$L:$L,0)),"")</f>
        <v/>
      </c>
      <c r="AL16" s="43" t="str">
        <f t="shared" si="8"/>
        <v/>
      </c>
      <c r="AM16" s="42" t="str">
        <f>IFERROR(INDEX(V!$R:$R,MATCH(AN16,V!$L:$L,0)),"")</f>
        <v/>
      </c>
      <c r="AN16" s="43" t="str">
        <f t="shared" si="9"/>
        <v/>
      </c>
      <c r="AO16" s="42" t="str">
        <f>IFERROR(INDEX(V!$R:$R,MATCH(AP16,V!$L:$L,0)),"")</f>
        <v/>
      </c>
      <c r="AP16" s="43" t="str">
        <f t="shared" si="10"/>
        <v/>
      </c>
    </row>
    <row r="17" spans="1:42">
      <c r="A17" s="11">
        <v>11</v>
      </c>
      <c r="B17" s="17" t="s">
        <v>366</v>
      </c>
      <c r="C17" s="13">
        <v>13</v>
      </c>
      <c r="D17" s="14" t="s">
        <v>346</v>
      </c>
      <c r="E17" s="14">
        <v>11</v>
      </c>
      <c r="F17" s="15" t="s">
        <v>353</v>
      </c>
      <c r="G17" s="13">
        <v>3</v>
      </c>
      <c r="H17" s="14" t="s">
        <v>346</v>
      </c>
      <c r="I17" s="14">
        <v>13</v>
      </c>
      <c r="J17" s="15" t="s">
        <v>387</v>
      </c>
      <c r="K17" s="13">
        <v>8</v>
      </c>
      <c r="L17" s="14" t="s">
        <v>346</v>
      </c>
      <c r="M17" s="14">
        <v>13</v>
      </c>
      <c r="N17" s="15" t="s">
        <v>375</v>
      </c>
      <c r="O17" s="13">
        <v>1</v>
      </c>
      <c r="P17" s="14" t="s">
        <v>346</v>
      </c>
      <c r="Q17" s="14">
        <v>13</v>
      </c>
      <c r="R17" s="15" t="s">
        <v>355</v>
      </c>
      <c r="S17" s="13"/>
      <c r="T17" s="14"/>
      <c r="U17" s="14"/>
      <c r="V17" s="15"/>
      <c r="W17" s="28">
        <f t="shared" si="0"/>
        <v>1</v>
      </c>
      <c r="X17" s="29">
        <v>18</v>
      </c>
      <c r="Y17" s="29">
        <v>56</v>
      </c>
      <c r="Z17" s="13">
        <f t="shared" si="1"/>
        <v>25</v>
      </c>
      <c r="AA17" s="14" t="s">
        <v>346</v>
      </c>
      <c r="AB17" s="39">
        <f t="shared" si="2"/>
        <v>50</v>
      </c>
      <c r="AC17" s="40">
        <f t="shared" si="3"/>
        <v>-25</v>
      </c>
      <c r="AD17" s="41">
        <f t="shared" si="13"/>
        <v>136</v>
      </c>
      <c r="AE17" s="42">
        <f>IFERROR(INDEX(V!$R:$R,MATCH(AF17,V!$L:$L,0)),"")</f>
        <v>34</v>
      </c>
      <c r="AF17" s="43" t="str">
        <f t="shared" si="5"/>
        <v>Boriss Klubov</v>
      </c>
      <c r="AG17" s="42">
        <f>IFERROR(INDEX(V!$R:$R,MATCH(AH17,V!$L:$L,0)),"")</f>
        <v>102</v>
      </c>
      <c r="AH17" s="43" t="str">
        <f t="shared" si="6"/>
        <v>Elmo Lageda</v>
      </c>
      <c r="AI17" s="42" t="str">
        <f>IFERROR(INDEX(V!$R:$R,MATCH(AJ17,V!$L:$L,0)),"")</f>
        <v/>
      </c>
      <c r="AJ17" s="43" t="str">
        <f t="shared" si="7"/>
        <v/>
      </c>
      <c r="AK17" s="42" t="str">
        <f>IFERROR(INDEX(V!$R:$R,MATCH(AL17,V!$L:$L,0)),"")</f>
        <v/>
      </c>
      <c r="AL17" s="43" t="str">
        <f t="shared" si="8"/>
        <v/>
      </c>
      <c r="AM17" s="42" t="str">
        <f>IFERROR(INDEX(V!$R:$R,MATCH(AN17,V!$L:$L,0)),"")</f>
        <v/>
      </c>
      <c r="AN17" s="43" t="str">
        <f t="shared" si="9"/>
        <v/>
      </c>
      <c r="AO17" s="42" t="str">
        <f>IFERROR(INDEX(V!$R:$R,MATCH(AP17,V!$L:$L,0)),"")</f>
        <v/>
      </c>
      <c r="AP17" s="43" t="str">
        <f t="shared" si="10"/>
        <v/>
      </c>
    </row>
    <row r="18" spans="1:42">
      <c r="A18" s="11">
        <v>12</v>
      </c>
      <c r="B18" s="18" t="s">
        <v>347</v>
      </c>
      <c r="C18" s="13">
        <v>5</v>
      </c>
      <c r="D18" s="14" t="s">
        <v>346</v>
      </c>
      <c r="E18" s="14">
        <v>13</v>
      </c>
      <c r="F18" s="15" t="s">
        <v>348</v>
      </c>
      <c r="G18" s="13">
        <v>7</v>
      </c>
      <c r="H18" s="14" t="s">
        <v>346</v>
      </c>
      <c r="I18" s="14">
        <v>13</v>
      </c>
      <c r="J18" s="15" t="s">
        <v>388</v>
      </c>
      <c r="K18" s="13">
        <v>13</v>
      </c>
      <c r="L18" s="14" t="s">
        <v>346</v>
      </c>
      <c r="M18" s="14">
        <v>12</v>
      </c>
      <c r="N18" s="15" t="s">
        <v>361</v>
      </c>
      <c r="O18" s="13">
        <v>11</v>
      </c>
      <c r="P18" s="14" t="s">
        <v>346</v>
      </c>
      <c r="Q18" s="14">
        <v>13</v>
      </c>
      <c r="R18" s="15" t="s">
        <v>360</v>
      </c>
      <c r="S18" s="13"/>
      <c r="T18" s="14"/>
      <c r="U18" s="14"/>
      <c r="V18" s="15"/>
      <c r="W18" s="28">
        <f t="shared" si="0"/>
        <v>1</v>
      </c>
      <c r="X18" s="29">
        <v>14</v>
      </c>
      <c r="Y18" s="29">
        <v>66</v>
      </c>
      <c r="Z18" s="13">
        <f t="shared" si="1"/>
        <v>36</v>
      </c>
      <c r="AA18" s="14" t="s">
        <v>346</v>
      </c>
      <c r="AB18" s="39">
        <f t="shared" si="2"/>
        <v>51</v>
      </c>
      <c r="AC18" s="40">
        <f t="shared" si="3"/>
        <v>-15</v>
      </c>
      <c r="AD18" s="41">
        <f t="shared" si="13"/>
        <v>96</v>
      </c>
      <c r="AE18" s="42">
        <f>IFERROR(INDEX(V!$R:$R,MATCH(AF18,V!$L:$L,0)),"")</f>
        <v>62</v>
      </c>
      <c r="AF18" s="43" t="str">
        <f t="shared" si="5"/>
        <v>Johannes Neiland</v>
      </c>
      <c r="AG18" s="42">
        <f>IFERROR(INDEX(V!$R:$R,MATCH(AH18,V!$L:$L,0)),"")</f>
        <v>34</v>
      </c>
      <c r="AH18" s="43" t="str">
        <f t="shared" si="6"/>
        <v>Urmas Randlaine</v>
      </c>
      <c r="AI18" s="42" t="str">
        <f>IFERROR(INDEX(V!$R:$R,MATCH(AJ18,V!$L:$L,0)),"")</f>
        <v/>
      </c>
      <c r="AJ18" s="43" t="str">
        <f t="shared" si="7"/>
        <v/>
      </c>
      <c r="AK18" s="42" t="str">
        <f>IFERROR(INDEX(V!$R:$R,MATCH(AL18,V!$L:$L,0)),"")</f>
        <v/>
      </c>
      <c r="AL18" s="43" t="str">
        <f t="shared" si="8"/>
        <v/>
      </c>
      <c r="AM18" s="42" t="str">
        <f>IFERROR(INDEX(V!$R:$R,MATCH(AN18,V!$L:$L,0)),"")</f>
        <v/>
      </c>
      <c r="AN18" s="43" t="str">
        <f t="shared" si="9"/>
        <v/>
      </c>
      <c r="AO18" s="42" t="str">
        <f>IFERROR(INDEX(V!$R:$R,MATCH(AP18,V!$L:$L,0)),"")</f>
        <v/>
      </c>
      <c r="AP18" s="43" t="str">
        <f t="shared" si="10"/>
        <v/>
      </c>
    </row>
    <row r="19" spans="1:42">
      <c r="A19" s="11">
        <v>13</v>
      </c>
      <c r="B19" s="17" t="s">
        <v>361</v>
      </c>
      <c r="C19" s="13">
        <v>5</v>
      </c>
      <c r="D19" s="14" t="s">
        <v>346</v>
      </c>
      <c r="E19" s="14">
        <v>13</v>
      </c>
      <c r="F19" s="15" t="s">
        <v>360</v>
      </c>
      <c r="G19" s="13">
        <v>8</v>
      </c>
      <c r="H19" s="14" t="s">
        <v>346</v>
      </c>
      <c r="I19" s="14">
        <v>11</v>
      </c>
      <c r="J19" s="15" t="s">
        <v>375</v>
      </c>
      <c r="K19" s="13">
        <v>12</v>
      </c>
      <c r="L19" s="14" t="s">
        <v>346</v>
      </c>
      <c r="M19" s="14">
        <v>13</v>
      </c>
      <c r="N19" s="15" t="s">
        <v>347</v>
      </c>
      <c r="O19" s="13">
        <v>10</v>
      </c>
      <c r="P19" s="14" t="s">
        <v>346</v>
      </c>
      <c r="Q19" s="14">
        <v>9</v>
      </c>
      <c r="R19" s="15" t="s">
        <v>353</v>
      </c>
      <c r="S19" s="13"/>
      <c r="T19" s="14"/>
      <c r="U19" s="14"/>
      <c r="V19" s="15"/>
      <c r="W19" s="28">
        <f t="shared" si="0"/>
        <v>1</v>
      </c>
      <c r="X19" s="29">
        <v>12</v>
      </c>
      <c r="Y19" s="29">
        <v>54</v>
      </c>
      <c r="Z19" s="13">
        <f t="shared" si="1"/>
        <v>35</v>
      </c>
      <c r="AA19" s="14" t="s">
        <v>346</v>
      </c>
      <c r="AB19" s="39">
        <f t="shared" si="2"/>
        <v>46</v>
      </c>
      <c r="AC19" s="40">
        <f t="shared" si="3"/>
        <v>-11</v>
      </c>
      <c r="AD19" s="41">
        <f t="shared" si="13"/>
        <v>52</v>
      </c>
      <c r="AE19" s="42">
        <f>IFERROR(INDEX(V!$R:$R,MATCH(AF19,V!$L:$L,0)),"")</f>
        <v>26</v>
      </c>
      <c r="AF19" s="43" t="str">
        <f t="shared" si="5"/>
        <v>Heili Vasser</v>
      </c>
      <c r="AG19" s="42">
        <f>IFERROR(INDEX(V!$R:$R,MATCH(AH19,V!$L:$L,0)),"")</f>
        <v>26</v>
      </c>
      <c r="AH19" s="43" t="str">
        <f t="shared" si="6"/>
        <v>Vello Vasser</v>
      </c>
      <c r="AI19" s="42" t="str">
        <f>IFERROR(INDEX(V!$R:$R,MATCH(AJ19,V!$L:$L,0)),"")</f>
        <v/>
      </c>
      <c r="AJ19" s="43" t="str">
        <f t="shared" si="7"/>
        <v/>
      </c>
      <c r="AK19" s="42" t="str">
        <f>IFERROR(INDEX(V!$R:$R,MATCH(AL19,V!$L:$L,0)),"")</f>
        <v/>
      </c>
      <c r="AL19" s="43" t="str">
        <f t="shared" si="8"/>
        <v/>
      </c>
      <c r="AM19" s="42" t="str">
        <f>IFERROR(INDEX(V!$R:$R,MATCH(AN19,V!$L:$L,0)),"")</f>
        <v/>
      </c>
      <c r="AN19" s="43" t="str">
        <f t="shared" si="9"/>
        <v/>
      </c>
      <c r="AO19" s="42" t="str">
        <f>IFERROR(INDEX(V!$R:$R,MATCH(AP19,V!$L:$L,0)),"")</f>
        <v/>
      </c>
      <c r="AP19" s="43" t="str">
        <f t="shared" si="10"/>
        <v/>
      </c>
    </row>
    <row r="20" spans="1:42">
      <c r="A20" s="11">
        <v>14</v>
      </c>
      <c r="B20" s="18" t="s">
        <v>353</v>
      </c>
      <c r="C20" s="13">
        <v>11</v>
      </c>
      <c r="D20" s="14" t="s">
        <v>346</v>
      </c>
      <c r="E20" s="14">
        <v>13</v>
      </c>
      <c r="F20" s="15" t="s">
        <v>366</v>
      </c>
      <c r="G20" s="13">
        <v>9</v>
      </c>
      <c r="H20" s="14" t="s">
        <v>346</v>
      </c>
      <c r="I20" s="14">
        <v>10</v>
      </c>
      <c r="J20" s="15" t="s">
        <v>363</v>
      </c>
      <c r="K20" s="13">
        <v>4</v>
      </c>
      <c r="L20" s="14" t="s">
        <v>346</v>
      </c>
      <c r="M20" s="14">
        <v>13</v>
      </c>
      <c r="N20" s="15" t="s">
        <v>355</v>
      </c>
      <c r="O20" s="13">
        <v>9</v>
      </c>
      <c r="P20" s="14" t="s">
        <v>346</v>
      </c>
      <c r="Q20" s="14">
        <v>10</v>
      </c>
      <c r="R20" s="15" t="s">
        <v>361</v>
      </c>
      <c r="S20" s="13"/>
      <c r="T20" s="14"/>
      <c r="U20" s="14"/>
      <c r="V20" s="15"/>
      <c r="W20" s="28">
        <f t="shared" si="0"/>
        <v>0</v>
      </c>
      <c r="X20" s="29">
        <v>12</v>
      </c>
      <c r="Y20" s="29">
        <v>66</v>
      </c>
      <c r="Z20" s="13">
        <f t="shared" si="1"/>
        <v>33</v>
      </c>
      <c r="AA20" s="14" t="s">
        <v>346</v>
      </c>
      <c r="AB20" s="39">
        <f t="shared" si="2"/>
        <v>46</v>
      </c>
      <c r="AC20" s="40">
        <f t="shared" si="3"/>
        <v>-13</v>
      </c>
      <c r="AD20" s="41">
        <f t="shared" ref="AD20" si="14">SUM(AE20:AL20)</f>
        <v>74</v>
      </c>
      <c r="AE20" s="42">
        <f>IFERROR(INDEX(V!$R:$R,MATCH(AF20,V!$L:$L,0)),"")</f>
        <v>26</v>
      </c>
      <c r="AF20" s="43" t="str">
        <f t="shared" si="5"/>
        <v>Jaan Saar</v>
      </c>
      <c r="AG20" s="42">
        <f>IFERROR(INDEX(V!$R:$R,MATCH(AH20,V!$L:$L,0)),"")</f>
        <v>48</v>
      </c>
      <c r="AH20" s="43" t="str">
        <f t="shared" si="6"/>
        <v>Liidia Põllu</v>
      </c>
      <c r="AI20" s="42" t="str">
        <f>IFERROR(INDEX(V!$R:$R,MATCH(AJ20,V!$L:$L,0)),"")</f>
        <v/>
      </c>
      <c r="AJ20" s="43" t="str">
        <f t="shared" si="7"/>
        <v/>
      </c>
      <c r="AK20" s="42" t="str">
        <f>IFERROR(INDEX(V!$R:$R,MATCH(AL20,V!$L:$L,0)),"")</f>
        <v/>
      </c>
      <c r="AL20" s="43" t="str">
        <f t="shared" si="8"/>
        <v/>
      </c>
      <c r="AM20" s="42" t="str">
        <f>IFERROR(INDEX(V!$R:$R,MATCH(AN20,V!$L:$L,0)),"")</f>
        <v/>
      </c>
      <c r="AN20" s="43" t="str">
        <f t="shared" si="9"/>
        <v/>
      </c>
      <c r="AO20" s="42" t="str">
        <f>IFERROR(INDEX(V!$R:$R,MATCH(AP20,V!$L:$L,0)),"")</f>
        <v/>
      </c>
      <c r="AP20" s="43" t="str">
        <f t="shared" si="10"/>
        <v/>
      </c>
    </row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  <row r="35" hidden="1"/>
    <row r="36" hidden="1"/>
    <row r="37" hidden="1"/>
    <row r="38" hidden="1"/>
    <row r="39" hidden="1"/>
    <row r="40" hidden="1"/>
    <row r="41" hidden="1"/>
    <row r="42" hidden="1"/>
    <row r="43" hidden="1"/>
    <row r="44" hidden="1"/>
    <row r="45" hidden="1"/>
    <row r="46" hidden="1"/>
    <row r="47" hidden="1"/>
    <row r="48" hidden="1"/>
    <row r="49" hidden="1"/>
    <row r="50" hidden="1"/>
    <row r="51" hidden="1"/>
    <row r="52" hidden="1"/>
    <row r="53" hidden="1"/>
    <row r="54" hidden="1"/>
    <row r="55" hidden="1"/>
    <row r="56" hidden="1"/>
    <row r="57" hidden="1"/>
    <row r="58" hidden="1"/>
    <row r="59" hidden="1"/>
    <row r="60" hidden="1"/>
    <row r="61" hidden="1"/>
    <row r="62" hidden="1"/>
    <row r="63" hidden="1"/>
    <row r="64" hidden="1"/>
    <row r="65" hidden="1"/>
    <row r="66" hidden="1"/>
    <row r="67" hidden="1"/>
    <row r="68" hidden="1"/>
    <row r="69" hidden="1"/>
    <row r="70" hidden="1"/>
    <row r="71" hidden="1"/>
    <row r="72" hidden="1"/>
    <row r="73" hidden="1"/>
    <row r="74" hidden="1"/>
    <row r="75" hidden="1"/>
    <row r="76" hidden="1"/>
    <row r="77" hidden="1"/>
    <row r="78" hidden="1"/>
    <row r="79" hidden="1"/>
    <row r="80" hidden="1"/>
    <row r="81" hidden="1"/>
    <row r="82" hidden="1"/>
    <row r="83" hidden="1"/>
    <row r="84" hidden="1"/>
    <row r="85" hidden="1"/>
    <row r="86" hidden="1"/>
    <row r="87" hidden="1"/>
    <row r="88" hidden="1"/>
    <row r="89" hidden="1"/>
    <row r="90" hidden="1"/>
    <row r="91" hidden="1"/>
    <row r="92" hidden="1"/>
    <row r="93" hidden="1"/>
    <row r="94" hidden="1"/>
    <row r="95" hidden="1"/>
    <row r="96" hidden="1"/>
    <row r="97" hidden="1"/>
    <row r="98" hidden="1"/>
    <row r="99" hidden="1"/>
    <row r="100" hidden="1"/>
    <row r="101" hidden="1"/>
    <row r="102" hidden="1"/>
    <row r="103" hidden="1"/>
    <row r="104" hidden="1"/>
    <row r="105" hidden="1"/>
    <row r="106" hidden="1"/>
    <row r="107" hidden="1"/>
    <row r="108" hidden="1"/>
    <row r="109" hidden="1"/>
    <row r="110" hidden="1"/>
    <row r="111" hidden="1"/>
    <row r="112" hidden="1"/>
    <row r="113" hidden="1"/>
    <row r="114" hidden="1"/>
    <row r="115" hidden="1"/>
    <row r="116" hidden="1"/>
    <row r="117" hidden="1"/>
    <row r="118" hidden="1"/>
    <row r="119" hidden="1"/>
    <row r="120" hidden="1"/>
    <row r="121" hidden="1"/>
    <row r="122" hidden="1"/>
    <row r="123" hidden="1"/>
    <row r="124" hidden="1"/>
    <row r="125" hidden="1"/>
    <row r="126" hidden="1"/>
    <row r="127" hidden="1"/>
    <row r="128" hidden="1"/>
    <row r="129" hidden="1"/>
    <row r="130" hidden="1"/>
    <row r="131" hidden="1"/>
    <row r="132" hidden="1"/>
    <row r="133" hidden="1"/>
    <row r="134" hidden="1"/>
    <row r="135" hidden="1"/>
    <row r="136" hidden="1"/>
    <row r="137" hidden="1"/>
    <row r="138" hidden="1"/>
    <row r="139" hidden="1"/>
    <row r="140" hidden="1"/>
    <row r="141" hidden="1"/>
    <row r="142" hidden="1"/>
    <row r="143" hidden="1"/>
    <row r="144" hidden="1"/>
    <row r="145" hidden="1"/>
    <row r="146" hidden="1"/>
    <row r="147" hidden="1"/>
    <row r="148" hidden="1"/>
    <row r="149" hidden="1"/>
    <row r="150" hidden="1"/>
    <row r="151" hidden="1"/>
    <row r="152" hidden="1"/>
    <row r="153" hidden="1"/>
    <row r="154" hidden="1"/>
    <row r="155" hidden="1"/>
    <row r="156" hidden="1"/>
    <row r="157" hidden="1"/>
    <row r="158" hidden="1"/>
    <row r="159" hidden="1"/>
    <row r="160" hidden="1"/>
    <row r="161" hidden="1"/>
    <row r="162" hidden="1"/>
    <row r="163" hidden="1"/>
    <row r="164" hidden="1"/>
    <row r="165" hidden="1"/>
    <row r="166" hidden="1"/>
    <row r="167" hidden="1"/>
    <row r="168" hidden="1"/>
    <row r="169" hidden="1"/>
    <row r="170" hidden="1"/>
    <row r="171" hidden="1"/>
    <row r="172" hidden="1"/>
    <row r="173" hidden="1"/>
    <row r="174" hidden="1"/>
    <row r="175" hidden="1"/>
    <row r="176" hidden="1"/>
    <row r="177" hidden="1"/>
    <row r="178" hidden="1"/>
    <row r="179" hidden="1"/>
    <row r="180" hidden="1"/>
    <row r="181" hidden="1"/>
    <row r="182" hidden="1"/>
    <row r="183" hidden="1"/>
    <row r="184" hidden="1"/>
    <row r="185" hidden="1"/>
    <row r="186" hidden="1"/>
    <row r="187" hidden="1"/>
    <row r="188" hidden="1"/>
    <row r="189" hidden="1"/>
    <row r="190" hidden="1"/>
    <row r="191" hidden="1"/>
    <row r="192" hidden="1"/>
    <row r="193" hidden="1"/>
    <row r="194" hidden="1"/>
    <row r="195" hidden="1"/>
    <row r="196" hidden="1"/>
    <row r="197" hidden="1"/>
    <row r="198" hidden="1"/>
    <row r="199" hidden="1"/>
    <row r="200" hidden="1"/>
    <row r="201" hidden="1"/>
    <row r="202" hidden="1"/>
    <row r="203" hidden="1"/>
    <row r="204" hidden="1"/>
    <row r="205" hidden="1"/>
    <row r="206" hidden="1"/>
    <row r="207" hidden="1"/>
    <row r="208" hidden="1"/>
    <row r="209" hidden="1"/>
    <row r="210" hidden="1"/>
    <row r="211" hidden="1"/>
    <row r="212" hidden="1"/>
    <row r="213" hidden="1"/>
    <row r="214" hidden="1"/>
    <row r="215" hidden="1"/>
    <row r="216" hidden="1"/>
    <row r="217" hidden="1"/>
    <row r="218" hidden="1"/>
    <row r="219" hidden="1"/>
    <row r="220" hidden="1"/>
    <row r="221" hidden="1"/>
    <row r="222" hidden="1"/>
    <row r="223" hidden="1"/>
    <row r="224" hidden="1"/>
    <row r="225" hidden="1"/>
    <row r="226" hidden="1"/>
    <row r="227" hidden="1"/>
    <row r="228" hidden="1"/>
    <row r="229" hidden="1"/>
    <row r="230" hidden="1"/>
    <row r="231" hidden="1"/>
    <row r="232" hidden="1"/>
    <row r="233" hidden="1"/>
    <row r="234" hidden="1"/>
    <row r="235" hidden="1"/>
    <row r="236" hidden="1"/>
    <row r="237" hidden="1"/>
    <row r="238" hidden="1"/>
    <row r="239" hidden="1"/>
    <row r="240" hidden="1"/>
    <row r="241" hidden="1"/>
    <row r="242" hidden="1"/>
    <row r="243" hidden="1"/>
    <row r="244" hidden="1"/>
    <row r="245" hidden="1"/>
    <row r="246" hidden="1"/>
    <row r="247" hidden="1"/>
    <row r="248" hidden="1"/>
    <row r="249" hidden="1"/>
    <row r="250" hidden="1"/>
    <row r="251" hidden="1"/>
    <row r="252" hidden="1"/>
    <row r="253" hidden="1"/>
    <row r="254" hidden="1"/>
    <row r="255" hidden="1"/>
    <row r="256" hidden="1"/>
    <row r="257" hidden="1"/>
    <row r="258" hidden="1"/>
    <row r="259" hidden="1"/>
    <row r="260" hidden="1"/>
    <row r="261" hidden="1"/>
    <row r="262" hidden="1"/>
    <row r="263" hidden="1"/>
    <row r="264" hidden="1"/>
    <row r="265" hidden="1"/>
    <row r="266" hidden="1"/>
    <row r="267" hidden="1"/>
    <row r="268" hidden="1"/>
    <row r="269" hidden="1"/>
    <row r="270" hidden="1"/>
    <row r="271" hidden="1"/>
    <row r="272" hidden="1"/>
    <row r="273" hidden="1"/>
    <row r="274" hidden="1"/>
    <row r="275" hidden="1"/>
    <row r="276" hidden="1"/>
    <row r="277" hidden="1"/>
    <row r="278" hidden="1"/>
    <row r="279" hidden="1"/>
    <row r="280" hidden="1"/>
    <row r="281" hidden="1"/>
    <row r="282" hidden="1"/>
    <row r="283" hidden="1"/>
    <row r="284" hidden="1"/>
    <row r="285" hidden="1"/>
    <row r="286" hidden="1"/>
    <row r="287" hidden="1"/>
    <row r="288" hidden="1"/>
    <row r="289" hidden="1"/>
    <row r="290" hidden="1"/>
    <row r="291" hidden="1"/>
    <row r="292" hidden="1"/>
    <row r="293" hidden="1"/>
    <row r="294" hidden="1"/>
    <row r="295" hidden="1"/>
    <row r="296" hidden="1"/>
    <row r="297" hidden="1"/>
    <row r="298" hidden="1"/>
    <row r="299" spans="1:6">
      <c r="A299" s="6"/>
      <c r="B299" s="6"/>
      <c r="C299" s="49" t="s">
        <v>368</v>
      </c>
      <c r="F299" s="50"/>
    </row>
    <row r="300" spans="1:6">
      <c r="A300" s="51">
        <v>1</v>
      </c>
      <c r="B300" s="52" t="str">
        <f t="shared" ref="B300:B313" si="15">IFERROR(INDEX(B$1:B$95,MATCH(A300,A$1:A$95,0)),"")</f>
        <v>Oleg Rõndenkov, Urmas Jõeäär</v>
      </c>
      <c r="C300" s="53">
        <f>LARGE(A$300:A$400,1)*2+2-A300*2</f>
        <v>28</v>
      </c>
      <c r="F300" s="50"/>
    </row>
    <row r="301" spans="1:6">
      <c r="A301" s="51">
        <v>2</v>
      </c>
      <c r="B301" s="52" t="str">
        <f t="shared" si="15"/>
        <v>Olav Türk, Sirje Maala</v>
      </c>
      <c r="C301" s="53">
        <f t="shared" ref="C301:C313" si="16">LARGE(A$300:A$400,1)*2+2-A301*2</f>
        <v>26</v>
      </c>
      <c r="F301" s="50"/>
    </row>
    <row r="302" spans="1:6">
      <c r="A302" s="51">
        <v>3</v>
      </c>
      <c r="B302" s="52" t="str">
        <f t="shared" si="15"/>
        <v>Kristel Tihhonjuk, Vadim Tihhonjuk</v>
      </c>
      <c r="C302" s="53">
        <f t="shared" si="16"/>
        <v>24</v>
      </c>
      <c r="F302" s="50"/>
    </row>
    <row r="303" spans="1:6">
      <c r="A303" s="51">
        <v>4</v>
      </c>
      <c r="B303" s="52" t="str">
        <f t="shared" si="15"/>
        <v>Jaan Sepp, Matti Vinni</v>
      </c>
      <c r="C303" s="53">
        <f t="shared" si="16"/>
        <v>22</v>
      </c>
      <c r="F303" s="50"/>
    </row>
    <row r="304" spans="1:6">
      <c r="A304" s="51">
        <v>5</v>
      </c>
      <c r="B304" s="52" t="str">
        <f t="shared" si="15"/>
        <v>Marko Rooden, Martin Kuusmann</v>
      </c>
      <c r="C304" s="53">
        <f t="shared" si="16"/>
        <v>20</v>
      </c>
      <c r="F304" s="50"/>
    </row>
    <row r="305" spans="1:6">
      <c r="A305" s="51">
        <v>6</v>
      </c>
      <c r="B305" s="52" t="str">
        <f t="shared" si="15"/>
        <v>Andres Veski, Svetlana Veski</v>
      </c>
      <c r="C305" s="53">
        <f t="shared" si="16"/>
        <v>18</v>
      </c>
      <c r="F305" s="50"/>
    </row>
    <row r="306" spans="1:6">
      <c r="A306" s="51">
        <v>7</v>
      </c>
      <c r="B306" s="52" t="str">
        <f t="shared" si="15"/>
        <v>Andrei Grintšak, Enn Tokman</v>
      </c>
      <c r="C306" s="53">
        <f t="shared" si="16"/>
        <v>16</v>
      </c>
      <c r="F306" s="50"/>
    </row>
    <row r="307" spans="1:6">
      <c r="A307" s="51">
        <v>8</v>
      </c>
      <c r="B307" s="52" t="str">
        <f t="shared" si="15"/>
        <v>Hillar Neiland, Kaspar Mänd</v>
      </c>
      <c r="C307" s="53">
        <f t="shared" si="16"/>
        <v>14</v>
      </c>
      <c r="F307" s="50"/>
    </row>
    <row r="308" spans="1:6">
      <c r="A308" s="51">
        <v>9</v>
      </c>
      <c r="B308" s="52" t="str">
        <f t="shared" si="15"/>
        <v>Meelis Luud, Sander Rose</v>
      </c>
      <c r="C308" s="53">
        <f t="shared" si="16"/>
        <v>12</v>
      </c>
      <c r="F308" s="50"/>
    </row>
    <row r="309" spans="1:3">
      <c r="A309" s="51">
        <v>10</v>
      </c>
      <c r="B309" s="52" t="str">
        <f t="shared" si="15"/>
        <v>Sander Aul, Väino Aul</v>
      </c>
      <c r="C309" s="53">
        <f t="shared" si="16"/>
        <v>10</v>
      </c>
    </row>
    <row r="310" spans="1:3">
      <c r="A310" s="51">
        <v>11</v>
      </c>
      <c r="B310" s="52" t="s">
        <v>347</v>
      </c>
      <c r="C310" s="53">
        <f t="shared" si="16"/>
        <v>8</v>
      </c>
    </row>
    <row r="311" spans="1:3">
      <c r="A311" s="51">
        <v>12</v>
      </c>
      <c r="B311" s="52" t="s">
        <v>361</v>
      </c>
      <c r="C311" s="53">
        <f t="shared" si="16"/>
        <v>6</v>
      </c>
    </row>
    <row r="312" spans="1:3">
      <c r="A312" s="51">
        <v>13</v>
      </c>
      <c r="B312" s="52" t="s">
        <v>353</v>
      </c>
      <c r="C312" s="53">
        <f t="shared" si="16"/>
        <v>4</v>
      </c>
    </row>
    <row r="313" spans="1:5">
      <c r="A313" s="51">
        <v>14</v>
      </c>
      <c r="B313" s="17" t="s">
        <v>366</v>
      </c>
      <c r="C313" s="53">
        <v>0</v>
      </c>
      <c r="E313" s="3" t="s">
        <v>389</v>
      </c>
    </row>
  </sheetData>
  <conditionalFormatting sqref="A7:A20">
    <cfRule type="duplicateValues" dxfId="17" priority="33"/>
  </conditionalFormatting>
  <conditionalFormatting sqref="B300:B312">
    <cfRule type="expression" dxfId="3" priority="39">
      <formula>A300=3</formula>
    </cfRule>
    <cfRule type="expression" dxfId="4" priority="40">
      <formula>A300=2</formula>
    </cfRule>
    <cfRule type="expression" dxfId="18" priority="41">
      <formula>A300=1</formula>
    </cfRule>
    <cfRule type="containsBlanks" dxfId="19" priority="42">
      <formula>LEN(TRIM(B300))=0</formula>
    </cfRule>
    <cfRule type="duplicateValues" dxfId="8" priority="43"/>
  </conditionalFormatting>
  <conditionalFormatting sqref="C7:C20">
    <cfRule type="expression" dxfId="20" priority="15">
      <formula>IF($C7&gt;$E7,TRUE)</formula>
    </cfRule>
  </conditionalFormatting>
  <conditionalFormatting sqref="E7:E20">
    <cfRule type="expression" dxfId="20" priority="16">
      <formula>IF($C7&lt;$E7,TRUE)</formula>
    </cfRule>
  </conditionalFormatting>
  <conditionalFormatting sqref="F7:F20">
    <cfRule type="containsText" dxfId="21" priority="6" operator="between" text="vaba voor">
      <formula>NOT(ISERROR(SEARCH("vaba voor",F7)))</formula>
    </cfRule>
  </conditionalFormatting>
  <conditionalFormatting sqref="G7:G20">
    <cfRule type="expression" dxfId="20" priority="19">
      <formula>IF($G7&gt;$I7,TRUE)</formula>
    </cfRule>
  </conditionalFormatting>
  <conditionalFormatting sqref="I7:I20">
    <cfRule type="expression" dxfId="20" priority="20">
      <formula>IF($G7&lt;$I7,TRUE)</formula>
    </cfRule>
  </conditionalFormatting>
  <conditionalFormatting sqref="J7:J20">
    <cfRule type="containsText" dxfId="21" priority="5" operator="between" text="vaba voor">
      <formula>NOT(ISERROR(SEARCH("vaba voor",J7)))</formula>
    </cfRule>
  </conditionalFormatting>
  <conditionalFormatting sqref="K7:K20">
    <cfRule type="expression" dxfId="20" priority="23">
      <formula>IF($K7&gt;$M7,TRUE)</formula>
    </cfRule>
  </conditionalFormatting>
  <conditionalFormatting sqref="M7:M20">
    <cfRule type="expression" dxfId="20" priority="24">
      <formula>IF($K7&lt;$M7,TRUE)</formula>
    </cfRule>
  </conditionalFormatting>
  <conditionalFormatting sqref="N7:N20">
    <cfRule type="containsText" dxfId="21" priority="4" operator="between" text="vaba voor">
      <formula>NOT(ISERROR(SEARCH("vaba voor",N7)))</formula>
    </cfRule>
  </conditionalFormatting>
  <conditionalFormatting sqref="O7:O20">
    <cfRule type="expression" dxfId="20" priority="27">
      <formula>IF($O7&gt;$Q7,TRUE)</formula>
    </cfRule>
  </conditionalFormatting>
  <conditionalFormatting sqref="Q7:Q20">
    <cfRule type="expression" dxfId="20" priority="28">
      <formula>IF($O7&lt;$Q7,TRUE)</formula>
    </cfRule>
  </conditionalFormatting>
  <conditionalFormatting sqref="R7:R20">
    <cfRule type="containsText" dxfId="21" priority="7" operator="between" text="vaba voor">
      <formula>NOT(ISERROR(SEARCH("vaba voor",R7)))</formula>
    </cfRule>
  </conditionalFormatting>
  <conditionalFormatting sqref="S7:S20">
    <cfRule type="expression" dxfId="20" priority="31">
      <formula>IF($S7&gt;$U7,TRUE)</formula>
    </cfRule>
  </conditionalFormatting>
  <conditionalFormatting sqref="U7:U20">
    <cfRule type="expression" dxfId="20" priority="32">
      <formula>IF($S7&lt;$U7,TRUE)</formula>
    </cfRule>
  </conditionalFormatting>
  <conditionalFormatting sqref="V7:V20">
    <cfRule type="containsText" dxfId="21" priority="3" operator="between" text="vaba voor">
      <formula>NOT(ISERROR(SEARCH("vaba voor",V7)))</formula>
    </cfRule>
  </conditionalFormatting>
  <conditionalFormatting sqref="AF7:AF20">
    <cfRule type="expression" dxfId="22" priority="37">
      <formula>AND(AE7="",COUNTIF(AF7,"*,*")=0)</formula>
    </cfRule>
  </conditionalFormatting>
  <conditionalFormatting sqref="C7:F20">
    <cfRule type="expression" dxfId="5" priority="11">
      <formula>IF(AND(ISNUMBER($C7),$C7=$E7),TRUE)</formula>
    </cfRule>
    <cfRule type="expression" dxfId="7" priority="13">
      <formula>IF($C7&gt;$E7,TRUE)</formula>
    </cfRule>
    <cfRule type="expression" dxfId="23" priority="14">
      <formula>IF($C7&lt;$E7,TRUE)</formula>
    </cfRule>
  </conditionalFormatting>
  <conditionalFormatting sqref="C7:C20;G7:G20;K7:K20;O7:O20;S7:S20">
    <cfRule type="expression" dxfId="24" priority="1">
      <formula>AND(C7=0,E7=13)</formula>
    </cfRule>
  </conditionalFormatting>
  <conditionalFormatting sqref="E7:E20;I7:I20;M7:M20;Q7:Q20;U7:U20">
    <cfRule type="expression" dxfId="24" priority="2">
      <formula>AND(E7=0,C7=13)</formula>
    </cfRule>
  </conditionalFormatting>
  <conditionalFormatting sqref="G7:J20">
    <cfRule type="expression" dxfId="5" priority="12">
      <formula>IF(AND(ISNUMBER($G7),$G7=$I7),TRUE)</formula>
    </cfRule>
    <cfRule type="expression" dxfId="7" priority="17">
      <formula>IF($G7&gt;$I7,TRUE)</formula>
    </cfRule>
    <cfRule type="expression" dxfId="23" priority="18">
      <formula>IF($G7&lt;$I7,TRUE)</formula>
    </cfRule>
  </conditionalFormatting>
  <conditionalFormatting sqref="K7:N20">
    <cfRule type="expression" dxfId="5" priority="10">
      <formula>IF(AND(ISNUMBER($K7),$K7=$M7),TRUE)</formula>
    </cfRule>
    <cfRule type="expression" dxfId="7" priority="21">
      <formula>IF($K7&gt;$M7,TRUE)</formula>
    </cfRule>
    <cfRule type="expression" dxfId="23" priority="22">
      <formula>IF($K7&lt;$M7,TRUE)</formula>
    </cfRule>
  </conditionalFormatting>
  <conditionalFormatting sqref="O7:R20">
    <cfRule type="expression" dxfId="5" priority="9">
      <formula>IF(AND(ISNUMBER($O7),$O7=$Q7),TRUE)</formula>
    </cfRule>
    <cfRule type="expression" dxfId="7" priority="25">
      <formula>IF($O7&gt;$Q7,TRUE)</formula>
    </cfRule>
    <cfRule type="expression" dxfId="23" priority="26">
      <formula>IF($O7&lt;$Q7,TRUE)</formula>
    </cfRule>
  </conditionalFormatting>
  <conditionalFormatting sqref="S7:V20">
    <cfRule type="expression" dxfId="5" priority="8">
      <formula>IF(AND(ISNUMBER($S7),$S7=$U7),TRUE)</formula>
    </cfRule>
    <cfRule type="expression" dxfId="7" priority="29">
      <formula>IF($S7&gt;$U7,TRUE)</formula>
    </cfRule>
    <cfRule type="expression" dxfId="23" priority="30">
      <formula>IF($S7&lt;$U7,TRUE)</formula>
    </cfRule>
  </conditionalFormatting>
  <conditionalFormatting sqref="AJ7:AJ20;AH7:AH20;AL7:AL20">
    <cfRule type="expression" dxfId="25" priority="36">
      <formula>AND(AG7="",FIND(",",AH7))</formula>
    </cfRule>
    <cfRule type="expression" dxfId="22" priority="38">
      <formula>AND(AG7="",COUNTIF(AH7,"*,*")=0)</formula>
    </cfRule>
  </conditionalFormatting>
  <conditionalFormatting sqref="AN7:AN20;AP7:AP20">
    <cfRule type="expression" dxfId="22" priority="34">
      <formula>AND(AM7="",COUNTIF(AN7,"*,*")=0)</formula>
    </cfRule>
    <cfRule type="expression" dxfId="25" priority="35">
      <formula>AND(AM7="",FIND(",",AN7))</formula>
    </cfRule>
  </conditionalFormatting>
  <pageMargins left="0.393700787401575" right="0.393700787401575" top="0.78740157480315" bottom="0.393700787401575" header="0.78740157480315" footer="0"/>
  <pageSetup paperSize="9" fitToHeight="0" orientation="landscape" verticalDpi="1200"/>
  <headerFooter>
    <oddHeader>&amp;R&amp;P. leht &amp;N&amp; -st</oddHeader>
  </headerFooter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CCFFCC"/>
    <pageSetUpPr fitToPage="1"/>
  </sheetPr>
  <dimension ref="A1:AP319"/>
  <sheetViews>
    <sheetView showGridLines="0" showRowColHeaders="0" workbookViewId="0">
      <pane ySplit="1" topLeftCell="A2" activePane="bottomLeft" state="frozen"/>
      <selection/>
      <selection pane="bottomLeft" activeCell="A5" sqref="A5"/>
    </sheetView>
  </sheetViews>
  <sheetFormatPr defaultColWidth="9" defaultRowHeight="12.3"/>
  <cols>
    <col min="1" max="1" width="3.28828828828829" style="3" customWidth="1"/>
    <col min="2" max="2" width="30.3423423423423" style="3" customWidth="1"/>
    <col min="3" max="3" width="4.71171171171171" style="3" customWidth="1"/>
    <col min="4" max="4" width="1.14414414414414" style="3" customWidth="1"/>
    <col min="5" max="5" width="2.71171171171171" style="3" customWidth="1"/>
    <col min="6" max="6" width="9.14414414414414" style="3"/>
    <col min="7" max="7" width="2.71171171171171" style="3" customWidth="1"/>
    <col min="8" max="8" width="1.14414414414414" style="3" customWidth="1"/>
    <col min="9" max="9" width="2.71171171171171" style="3" customWidth="1"/>
    <col min="10" max="10" width="9.14414414414414" style="3"/>
    <col min="11" max="11" width="2.71171171171171" style="3" customWidth="1"/>
    <col min="12" max="12" width="1.14414414414414" style="3" customWidth="1"/>
    <col min="13" max="13" width="2.71171171171171" style="3" customWidth="1"/>
    <col min="14" max="14" width="9.14414414414414" style="3"/>
    <col min="15" max="15" width="2.71171171171171" style="3" customWidth="1"/>
    <col min="16" max="16" width="1.14414414414414" style="3" customWidth="1"/>
    <col min="17" max="17" width="2.71171171171171" style="3" customWidth="1"/>
    <col min="18" max="18" width="9.14414414414414" style="3"/>
    <col min="19" max="19" width="2.71171171171171" style="3" hidden="1" customWidth="1"/>
    <col min="20" max="20" width="1.14414414414414" style="3" hidden="1" customWidth="1"/>
    <col min="21" max="21" width="2.71171171171171" style="3" hidden="1" customWidth="1"/>
    <col min="22" max="22" width="9" style="3" hidden="1" customWidth="1"/>
    <col min="23" max="23" width="5.71171171171171" style="3" customWidth="1"/>
    <col min="24" max="24" width="5.56756756756757" style="3" customWidth="1"/>
    <col min="25" max="25" width="7.42342342342342" style="3" customWidth="1"/>
    <col min="26" max="26" width="2.71171171171171" style="3" customWidth="1"/>
    <col min="27" max="27" width="1.14414414414414" style="3" customWidth="1"/>
    <col min="28" max="28" width="2.71171171171171" style="3" customWidth="1"/>
    <col min="29" max="29" width="4.71171171171171" style="3" customWidth="1"/>
    <col min="30" max="31" width="9.14414414414414" style="3" hidden="1" customWidth="1"/>
    <col min="32" max="32" width="16.7027027027027" style="3" hidden="1" customWidth="1"/>
    <col min="33" max="33" width="9.14414414414414" style="3" hidden="1" customWidth="1"/>
    <col min="34" max="34" width="36.036036036036" style="3" hidden="1" customWidth="1"/>
    <col min="35" max="35" width="9.14414414414414" style="3" hidden="1" customWidth="1"/>
    <col min="36" max="36" width="21.7657657657658" style="3" hidden="1" customWidth="1"/>
    <col min="37" max="37" width="9.14414414414414" style="3" hidden="1" customWidth="1"/>
    <col min="38" max="38" width="13.8558558558559" style="3" hidden="1" customWidth="1"/>
    <col min="39" max="39" width="9.14414414414414" style="3" hidden="1" customWidth="1"/>
    <col min="40" max="40" width="17.2882882882883" style="3" hidden="1" customWidth="1"/>
    <col min="41" max="41" width="9.14414414414414" style="3" hidden="1" customWidth="1"/>
    <col min="42" max="42" width="13.8558558558559" style="3" hidden="1" customWidth="1"/>
    <col min="43" max="16384" width="9.14414414414414" style="3"/>
  </cols>
  <sheetData>
    <row r="1" spans="1:42">
      <c r="A1" s="4" t="str">
        <f>UPPER((Kalend!E17)&amp;" - "&amp;(Kalend!C17))&amp;" - "&amp;LOWER(Kalend!D17)&amp;" - "&amp;(Kalend!A17)&amp;" kell "&amp;(Kalend!B17)&amp;" - "&amp;(Kalend!F17)</f>
        <v>V5 - VOKA XI KV 5. ETAPP - duo - T, 02.07.2024 kell 18:00 - Voka staadion</v>
      </c>
      <c r="O1" s="6"/>
      <c r="P1" s="6"/>
      <c r="Q1" s="20"/>
      <c r="R1" s="20"/>
      <c r="S1" s="20"/>
      <c r="T1" s="21"/>
      <c r="U1" s="21"/>
      <c r="V1" s="21"/>
      <c r="W1" s="6"/>
      <c r="X1" s="22"/>
      <c r="Y1" s="6"/>
      <c r="Z1" s="6"/>
      <c r="AD1" s="30" t="s">
        <v>149</v>
      </c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47"/>
      <c r="AP1" s="47"/>
    </row>
    <row r="2" spans="1:40">
      <c r="A2" s="5"/>
      <c r="F2" s="6"/>
      <c r="L2" s="19"/>
      <c r="M2" s="19"/>
      <c r="N2" s="19"/>
      <c r="O2" s="6"/>
      <c r="P2" s="6"/>
      <c r="Q2" s="6"/>
      <c r="R2" s="23" t="s">
        <v>322</v>
      </c>
      <c r="S2" s="6"/>
      <c r="T2" s="19"/>
      <c r="U2" s="19"/>
      <c r="V2" s="19"/>
      <c r="W2" s="24">
        <v>1</v>
      </c>
      <c r="X2" s="6" t="s">
        <v>323</v>
      </c>
      <c r="Y2" s="6"/>
      <c r="Z2" s="6"/>
      <c r="AA2" s="6"/>
      <c r="AB2" s="6"/>
      <c r="AE2" s="6"/>
      <c r="AG2" s="6"/>
      <c r="AH2" s="6"/>
      <c r="AI2" s="6"/>
      <c r="AJ2" s="6"/>
      <c r="AK2" s="6"/>
      <c r="AL2" s="6"/>
      <c r="AM2" s="6"/>
      <c r="AN2" s="6"/>
    </row>
    <row r="3" spans="1:42">
      <c r="A3" s="5"/>
      <c r="F3" s="6"/>
      <c r="L3" s="6"/>
      <c r="M3" s="6"/>
      <c r="N3" s="6"/>
      <c r="O3" s="6"/>
      <c r="P3" s="6"/>
      <c r="Q3" s="6"/>
      <c r="R3" s="25" t="s">
        <v>324</v>
      </c>
      <c r="S3" s="6"/>
      <c r="T3" s="6"/>
      <c r="U3" s="6"/>
      <c r="V3" s="6"/>
      <c r="W3" s="24">
        <v>0.5</v>
      </c>
      <c r="X3" s="6" t="s">
        <v>325</v>
      </c>
      <c r="Y3" s="6"/>
      <c r="Z3" s="6"/>
      <c r="AA3" s="6"/>
      <c r="AB3" s="6"/>
      <c r="AE3" s="19"/>
      <c r="AF3" s="19"/>
      <c r="AG3" s="19"/>
      <c r="AH3" s="44"/>
      <c r="AI3" s="19"/>
      <c r="AJ3" s="19"/>
      <c r="AK3" s="19"/>
      <c r="AL3" s="19"/>
      <c r="AM3" s="19"/>
      <c r="AN3" s="19"/>
      <c r="AO3" s="19"/>
      <c r="AP3" s="19"/>
    </row>
    <row r="4" spans="6:28">
      <c r="F4" s="6"/>
      <c r="L4" s="6"/>
      <c r="M4" s="6"/>
      <c r="N4" s="6"/>
      <c r="O4" s="6"/>
      <c r="P4" s="6"/>
      <c r="Q4" s="6"/>
      <c r="R4" s="26" t="s">
        <v>326</v>
      </c>
      <c r="S4" s="6"/>
      <c r="T4" s="6"/>
      <c r="U4" s="6"/>
      <c r="V4" s="6"/>
      <c r="W4" s="24">
        <v>0</v>
      </c>
      <c r="X4" s="6" t="s">
        <v>325</v>
      </c>
      <c r="Y4" s="6"/>
      <c r="Z4" s="6"/>
      <c r="AA4" s="6"/>
      <c r="AB4" s="6"/>
    </row>
    <row r="5" spans="6:30">
      <c r="F5" s="6"/>
      <c r="L5" s="6"/>
      <c r="M5" s="6"/>
      <c r="N5" s="6"/>
      <c r="O5" s="6"/>
      <c r="P5" s="6"/>
      <c r="Q5" s="6"/>
      <c r="R5" s="6"/>
      <c r="S5" s="6"/>
      <c r="T5" s="6"/>
      <c r="U5" s="6"/>
      <c r="W5" s="6"/>
      <c r="X5" s="6"/>
      <c r="Y5" s="6"/>
      <c r="Z5" s="6"/>
      <c r="AA5" s="6"/>
      <c r="AB5" s="32" t="s">
        <v>327</v>
      </c>
      <c r="AD5" s="33" t="s">
        <v>328</v>
      </c>
    </row>
    <row r="6" spans="1:42">
      <c r="A6" s="7" t="s">
        <v>329</v>
      </c>
      <c r="B6" s="7" t="s">
        <v>180</v>
      </c>
      <c r="C6" s="8" t="s">
        <v>330</v>
      </c>
      <c r="D6" s="9"/>
      <c r="E6" s="9"/>
      <c r="F6" s="10"/>
      <c r="G6" s="8" t="s">
        <v>331</v>
      </c>
      <c r="H6" s="9"/>
      <c r="I6" s="9"/>
      <c r="J6" s="10"/>
      <c r="K6" s="8" t="s">
        <v>332</v>
      </c>
      <c r="L6" s="9"/>
      <c r="M6" s="9"/>
      <c r="N6" s="10"/>
      <c r="O6" s="8" t="s">
        <v>333</v>
      </c>
      <c r="P6" s="9"/>
      <c r="Q6" s="9"/>
      <c r="R6" s="10"/>
      <c r="S6" s="8" t="s">
        <v>334</v>
      </c>
      <c r="T6" s="9"/>
      <c r="U6" s="9"/>
      <c r="V6" s="10"/>
      <c r="W6" s="7" t="s">
        <v>162</v>
      </c>
      <c r="X6" s="27" t="s">
        <v>335</v>
      </c>
      <c r="Y6" s="7" t="s">
        <v>336</v>
      </c>
      <c r="Z6" s="27"/>
      <c r="AA6" s="34" t="s">
        <v>337</v>
      </c>
      <c r="AB6" s="35"/>
      <c r="AC6" s="36" t="s">
        <v>338</v>
      </c>
      <c r="AD6" s="37" t="s">
        <v>168</v>
      </c>
      <c r="AE6" s="38"/>
      <c r="AF6" s="38" t="s">
        <v>339</v>
      </c>
      <c r="AG6" s="38"/>
      <c r="AH6" s="45" t="s">
        <v>340</v>
      </c>
      <c r="AI6" s="38"/>
      <c r="AJ6" s="38" t="s">
        <v>341</v>
      </c>
      <c r="AK6" s="46"/>
      <c r="AL6" s="38" t="s">
        <v>342</v>
      </c>
      <c r="AM6" s="46"/>
      <c r="AN6" s="46" t="s">
        <v>343</v>
      </c>
      <c r="AO6" s="48"/>
      <c r="AP6" s="46" t="s">
        <v>344</v>
      </c>
    </row>
    <row r="7" spans="1:42">
      <c r="A7" s="11">
        <v>1</v>
      </c>
      <c r="B7" s="12" t="s">
        <v>369</v>
      </c>
      <c r="C7" s="13">
        <v>13</v>
      </c>
      <c r="D7" s="14" t="s">
        <v>346</v>
      </c>
      <c r="E7" s="14">
        <v>3</v>
      </c>
      <c r="F7" s="15" t="s">
        <v>388</v>
      </c>
      <c r="G7" s="13">
        <v>13</v>
      </c>
      <c r="H7" s="14" t="s">
        <v>346</v>
      </c>
      <c r="I7" s="14">
        <v>3</v>
      </c>
      <c r="J7" s="15" t="s">
        <v>360</v>
      </c>
      <c r="K7" s="13">
        <v>13</v>
      </c>
      <c r="L7" s="14" t="s">
        <v>346</v>
      </c>
      <c r="M7" s="14">
        <v>6</v>
      </c>
      <c r="N7" s="15" t="s">
        <v>390</v>
      </c>
      <c r="O7" s="13">
        <v>13</v>
      </c>
      <c r="P7" s="14" t="s">
        <v>346</v>
      </c>
      <c r="Q7" s="14">
        <v>1</v>
      </c>
      <c r="R7" s="15" t="s">
        <v>350</v>
      </c>
      <c r="S7" s="13"/>
      <c r="T7" s="14"/>
      <c r="U7" s="14"/>
      <c r="V7" s="15"/>
      <c r="W7" s="28">
        <f>IF(C7&gt;E7,W$2,IF(C7&lt;E7,W$4,IF(ISNUMBER(C7),W$3,0)))+IF(G7&gt;I7,W$2,IF(G7&lt;I7,W$4,IF(ISNUMBER(G7),W$3,0)))+IF(K7&gt;M7,W$2,IF(K7&lt;M7,W$4,IF(ISNUMBER(K7),W$3,0)))+IF(O7&gt;Q7,W$2,IF(O7&lt;Q7,W$4,IF(ISNUMBER(O7),W$3,0)))+IF(S7&gt;U7,W$2,IF(S7&lt;U7,W$4,IF(ISNUMBER(S7),W$3,0)))</f>
        <v>4</v>
      </c>
      <c r="X7" s="29">
        <v>20</v>
      </c>
      <c r="Y7" s="29">
        <v>72</v>
      </c>
      <c r="Z7" s="13">
        <f t="shared" ref="Z7:Z15" si="0">C7+G7+K7+O7+S7</f>
        <v>52</v>
      </c>
      <c r="AA7" s="14" t="s">
        <v>346</v>
      </c>
      <c r="AB7" s="39">
        <f t="shared" ref="AB7:AB15" si="1">E7+I7+M7+Q7+U7</f>
        <v>13</v>
      </c>
      <c r="AC7" s="40">
        <f t="shared" ref="AC7:AC15" si="2">Z7-AB7</f>
        <v>39</v>
      </c>
      <c r="AD7" s="41">
        <f t="shared" ref="AD7:AD15" si="3">SUM(AE7:AL7)</f>
        <v>320</v>
      </c>
      <c r="AE7" s="42">
        <f>IFERROR(INDEX(V!$R:$R,MATCH(AF7,V!$L:$L,0)),"")</f>
        <v>150</v>
      </c>
      <c r="AF7" s="43" t="str">
        <f t="shared" ref="AF7:AF15" si="4">IFERROR(LEFT($B7,(FIND(",",$B7,1)-1)),"")</f>
        <v>Henri Mitt</v>
      </c>
      <c r="AG7" s="42">
        <f>IFERROR(INDEX(V!$R:$R,MATCH(AH7,V!$L:$L,0)),"")</f>
        <v>170</v>
      </c>
      <c r="AH7" s="43" t="str">
        <f t="shared" ref="AH7:AH15" si="5">IFERROR(MID($B7,FIND(", ",$B7)+2,256),"")</f>
        <v>Tõnis Neiland</v>
      </c>
      <c r="AI7" s="42" t="str">
        <f>IFERROR(INDEX(V!$R:$R,MATCH(AJ7,V!$L:$L,0)),"")</f>
        <v/>
      </c>
      <c r="AJ7" s="43" t="str">
        <f t="shared" ref="AJ7:AJ15" si="6">IFERROR(MID($B7,FIND("^",SUBSTITUTE($B7,", ","^",1))+2,FIND("^",SUBSTITUTE($B7,", ","^",2))-FIND("^",SUBSTITUTE($B7,", ","^",1))-2),"")</f>
        <v/>
      </c>
      <c r="AK7" s="42" t="str">
        <f>IFERROR(INDEX(V!$R:$R,MATCH(AL7,V!$L:$L,0)),"")</f>
        <v/>
      </c>
      <c r="AL7" s="43" t="str">
        <f t="shared" ref="AL7:AL15" si="7">IFERROR(MID($B7,FIND(", ",$B7,FIND(", ",$B7,FIND(", ",$B7))+1)+2,30000),"")</f>
        <v/>
      </c>
      <c r="AM7" s="42" t="str">
        <f>IFERROR(INDEX(V!$R:$R,MATCH(AN7,V!$L:$L,0)),"")</f>
        <v/>
      </c>
      <c r="AN7" s="43" t="str">
        <f t="shared" ref="AN7:AN15" si="8">IFERROR(MID($B7,FIND(", ",$B7,FIND(", ",$B7)+1)+2,FIND(", ",$B7,FIND(", ",$B7,FIND(", ",$B7)+1)+1)-FIND(", ",$B7,FIND(", ",$B7)+1)-2),"")</f>
        <v/>
      </c>
      <c r="AO7" s="42" t="str">
        <f>IFERROR(INDEX(V!$R:$R,MATCH(AP7,V!$L:$L,0)),"")</f>
        <v/>
      </c>
      <c r="AP7" s="43" t="str">
        <f t="shared" ref="AP7:AP15" si="9">IFERROR(MID($B7,FIND(", ",$B7,FIND(", ",$B7,FIND(", ",$B7)+1)+1)+2,30000),"")</f>
        <v/>
      </c>
    </row>
    <row r="8" spans="1:42">
      <c r="A8" s="11">
        <v>2</v>
      </c>
      <c r="B8" s="16" t="s">
        <v>391</v>
      </c>
      <c r="C8" s="13">
        <v>10</v>
      </c>
      <c r="D8" s="14" t="s">
        <v>346</v>
      </c>
      <c r="E8" s="14">
        <v>9</v>
      </c>
      <c r="F8" s="15" t="s">
        <v>359</v>
      </c>
      <c r="G8" s="13">
        <v>5</v>
      </c>
      <c r="H8" s="14" t="s">
        <v>346</v>
      </c>
      <c r="I8" s="14">
        <v>8</v>
      </c>
      <c r="J8" s="15" t="s">
        <v>350</v>
      </c>
      <c r="K8" s="13">
        <v>13</v>
      </c>
      <c r="L8" s="14" t="s">
        <v>346</v>
      </c>
      <c r="M8" s="14">
        <v>5</v>
      </c>
      <c r="N8" s="15" t="s">
        <v>363</v>
      </c>
      <c r="O8" s="13">
        <v>12</v>
      </c>
      <c r="P8" s="14" t="s">
        <v>346</v>
      </c>
      <c r="Q8" s="14">
        <v>7</v>
      </c>
      <c r="R8" s="15" t="s">
        <v>390</v>
      </c>
      <c r="S8" s="13"/>
      <c r="T8" s="14"/>
      <c r="U8" s="14"/>
      <c r="V8" s="15"/>
      <c r="W8" s="28">
        <f>IF(C8&gt;E8,W$2,IF(C8&lt;E8,W$4,IF(ISNUMBER(C8),W$3,0)))+IF(G8&gt;I8,W$2,IF(G8&lt;I8,W$4,IF(ISNUMBER(G8),W$3,0)))+IF(K8&gt;M8,W$2,IF(K8&lt;M8,W$4,IF(ISNUMBER(K8),W$3,0)))+IF(O8&gt;Q8,W$2,IF(O8&lt;Q8,W$4,IF(ISNUMBER(O8),W$3,0)))+IF(S8&gt;U8,W$2,IF(S8&lt;U8,W$4,IF(ISNUMBER(S8),W$3,0)))</f>
        <v>3</v>
      </c>
      <c r="X8" s="29">
        <v>18</v>
      </c>
      <c r="Y8" s="29">
        <v>74</v>
      </c>
      <c r="Z8" s="13">
        <f t="shared" si="0"/>
        <v>40</v>
      </c>
      <c r="AA8" s="14" t="s">
        <v>346</v>
      </c>
      <c r="AB8" s="39">
        <f t="shared" si="1"/>
        <v>29</v>
      </c>
      <c r="AC8" s="40">
        <f t="shared" si="2"/>
        <v>11</v>
      </c>
      <c r="AD8" s="41">
        <f t="shared" si="3"/>
        <v>112</v>
      </c>
      <c r="AE8" s="42">
        <f>IFERROR(INDEX(V!$R:$R,MATCH(AF8,V!$L:$L,0)),"")</f>
        <v>74</v>
      </c>
      <c r="AF8" s="43" t="str">
        <f t="shared" si="4"/>
        <v>Aigi Orro</v>
      </c>
      <c r="AG8" s="42">
        <f>IFERROR(INDEX(V!$R:$R,MATCH(AH8,V!$L:$L,0)),"")</f>
        <v>38</v>
      </c>
      <c r="AH8" s="43" t="str">
        <f t="shared" si="5"/>
        <v>Kalle Orro</v>
      </c>
      <c r="AI8" s="42" t="str">
        <f>IFERROR(INDEX(V!$R:$R,MATCH(AJ8,V!$L:$L,0)),"")</f>
        <v/>
      </c>
      <c r="AJ8" s="43" t="str">
        <f t="shared" si="6"/>
        <v/>
      </c>
      <c r="AK8" s="42" t="str">
        <f>IFERROR(INDEX(V!$R:$R,MATCH(AL8,V!$L:$L,0)),"")</f>
        <v/>
      </c>
      <c r="AL8" s="43" t="str">
        <f t="shared" si="7"/>
        <v/>
      </c>
      <c r="AM8" s="42" t="str">
        <f>IFERROR(INDEX(V!$R:$R,MATCH(AN8,V!$L:$L,0)),"")</f>
        <v/>
      </c>
      <c r="AN8" s="43" t="str">
        <f t="shared" si="8"/>
        <v/>
      </c>
      <c r="AO8" s="42" t="str">
        <f>IFERROR(INDEX(V!$R:$R,MATCH(AP8,V!$L:$L,0)),"")</f>
        <v/>
      </c>
      <c r="AP8" s="43" t="str">
        <f t="shared" si="9"/>
        <v/>
      </c>
    </row>
    <row r="9" spans="1:42">
      <c r="A9" s="11">
        <v>3</v>
      </c>
      <c r="B9" s="17" t="s">
        <v>350</v>
      </c>
      <c r="C9" s="13">
        <v>13</v>
      </c>
      <c r="D9" s="14" t="s">
        <v>346</v>
      </c>
      <c r="E9" s="14">
        <v>3</v>
      </c>
      <c r="F9" s="15" t="s">
        <v>347</v>
      </c>
      <c r="G9" s="13">
        <v>8</v>
      </c>
      <c r="H9" s="14" t="s">
        <v>346</v>
      </c>
      <c r="I9" s="14">
        <v>5</v>
      </c>
      <c r="J9" s="15" t="s">
        <v>391</v>
      </c>
      <c r="K9" s="13">
        <v>13</v>
      </c>
      <c r="L9" s="14" t="s">
        <v>346</v>
      </c>
      <c r="M9" s="14">
        <v>4</v>
      </c>
      <c r="N9" s="15" t="s">
        <v>361</v>
      </c>
      <c r="O9" s="13">
        <v>1</v>
      </c>
      <c r="P9" s="14" t="s">
        <v>346</v>
      </c>
      <c r="Q9" s="14">
        <v>13</v>
      </c>
      <c r="R9" s="15" t="s">
        <v>369</v>
      </c>
      <c r="S9" s="13"/>
      <c r="T9" s="14"/>
      <c r="U9" s="14"/>
      <c r="V9" s="15"/>
      <c r="W9" s="28">
        <f>IF(C9&gt;E9,W$2,IF(C9&lt;E9,W$4,IF(ISNUMBER(C9),W$3,0)))+IF(G9&gt;I9,W$2,IF(G9&lt;I9,W$4,IF(ISNUMBER(G9),W$3,0)))+IF(K9&gt;M9,W$2,IF(K9&lt;M9,W$4,IF(ISNUMBER(K9),W$3,0)))+IF(O9&gt;Q9,W$2,IF(O9&lt;Q9,W$4,IF(ISNUMBER(O9),W$3,0)))+IF(S9&gt;U9,W$2,IF(S9&lt;U9,W$4,IF(ISNUMBER(S9),W$3,0)))</f>
        <v>3</v>
      </c>
      <c r="X9" s="29">
        <v>18</v>
      </c>
      <c r="Y9" s="29">
        <v>74</v>
      </c>
      <c r="Z9" s="13">
        <f t="shared" si="0"/>
        <v>35</v>
      </c>
      <c r="AA9" s="14" t="s">
        <v>346</v>
      </c>
      <c r="AB9" s="39">
        <f t="shared" si="1"/>
        <v>25</v>
      </c>
      <c r="AC9" s="40">
        <f t="shared" si="2"/>
        <v>10</v>
      </c>
      <c r="AD9" s="41">
        <f t="shared" si="3"/>
        <v>170</v>
      </c>
      <c r="AE9" s="42">
        <f>IFERROR(INDEX(V!$R:$R,MATCH(AF9,V!$L:$L,0)),"")</f>
        <v>112</v>
      </c>
      <c r="AF9" s="43" t="str">
        <f t="shared" si="4"/>
        <v>Jaan Sepp</v>
      </c>
      <c r="AG9" s="42">
        <f>IFERROR(INDEX(V!$R:$R,MATCH(AH9,V!$L:$L,0)),"")</f>
        <v>58</v>
      </c>
      <c r="AH9" s="43" t="str">
        <f t="shared" si="5"/>
        <v>Matti Vinni</v>
      </c>
      <c r="AI9" s="42" t="str">
        <f>IFERROR(INDEX(V!$R:$R,MATCH(AJ9,V!$L:$L,0)),"")</f>
        <v/>
      </c>
      <c r="AJ9" s="43" t="str">
        <f t="shared" si="6"/>
        <v/>
      </c>
      <c r="AK9" s="42" t="str">
        <f>IFERROR(INDEX(V!$R:$R,MATCH(AL9,V!$L:$L,0)),"")</f>
        <v/>
      </c>
      <c r="AL9" s="43" t="str">
        <f t="shared" si="7"/>
        <v/>
      </c>
      <c r="AM9" s="42" t="str">
        <f>IFERROR(INDEX(V!$R:$R,MATCH(AN9,V!$L:$L,0)),"")</f>
        <v/>
      </c>
      <c r="AN9" s="43" t="str">
        <f t="shared" si="8"/>
        <v/>
      </c>
      <c r="AO9" s="42" t="str">
        <f>IFERROR(INDEX(V!$R:$R,MATCH(AP9,V!$L:$L,0)),"")</f>
        <v/>
      </c>
      <c r="AP9" s="43" t="str">
        <f t="shared" si="9"/>
        <v/>
      </c>
    </row>
    <row r="10" spans="1:42">
      <c r="A10" s="11">
        <v>4</v>
      </c>
      <c r="B10" s="17" t="s">
        <v>388</v>
      </c>
      <c r="C10" s="13">
        <v>3</v>
      </c>
      <c r="D10" s="14" t="s">
        <v>346</v>
      </c>
      <c r="E10" s="14">
        <v>13</v>
      </c>
      <c r="F10" s="15" t="s">
        <v>369</v>
      </c>
      <c r="G10" s="13">
        <v>13</v>
      </c>
      <c r="H10" s="14" t="s">
        <v>346</v>
      </c>
      <c r="I10" s="14">
        <v>5</v>
      </c>
      <c r="J10" s="15" t="s">
        <v>392</v>
      </c>
      <c r="K10" s="13">
        <v>13</v>
      </c>
      <c r="L10" s="14" t="s">
        <v>346</v>
      </c>
      <c r="M10" s="14">
        <v>8</v>
      </c>
      <c r="N10" s="15" t="s">
        <v>349</v>
      </c>
      <c r="O10" s="13">
        <v>13</v>
      </c>
      <c r="P10" s="14" t="s">
        <v>346</v>
      </c>
      <c r="Q10" s="14">
        <v>10</v>
      </c>
      <c r="R10" s="15" t="s">
        <v>356</v>
      </c>
      <c r="S10" s="13"/>
      <c r="T10" s="14"/>
      <c r="U10" s="14"/>
      <c r="V10" s="15"/>
      <c r="W10" s="28">
        <f>IF(C10&gt;E10,W$2,IF(C10&lt;E10,W$4,IF(ISNUMBER(C10),W$3,0)))+IF(G10&gt;I10,W$2,IF(G10&lt;I10,W$4,IF(ISNUMBER(G10),W$3,0)))+IF(K10&gt;M10,W$2,IF(K10&lt;M10,W$4,IF(ISNUMBER(K10),W$3,0)))+IF(O10&gt;Q10,W$2,IF(O10&lt;Q10,W$4,IF(ISNUMBER(O10),W$3,0)))+IF(S10&gt;U10,W$2,IF(S10&lt;U10,W$4,IF(ISNUMBER(S10),W$3,0)))</f>
        <v>3</v>
      </c>
      <c r="X10" s="29">
        <v>14</v>
      </c>
      <c r="Y10" s="29">
        <v>74</v>
      </c>
      <c r="Z10" s="13">
        <f t="shared" si="0"/>
        <v>42</v>
      </c>
      <c r="AA10" s="14" t="s">
        <v>346</v>
      </c>
      <c r="AB10" s="39">
        <f t="shared" si="1"/>
        <v>36</v>
      </c>
      <c r="AC10" s="40">
        <f t="shared" si="2"/>
        <v>6</v>
      </c>
      <c r="AD10" s="41">
        <f t="shared" si="3"/>
        <v>156</v>
      </c>
      <c r="AE10" s="42">
        <f>IFERROR(INDEX(V!$R:$R,MATCH(AF10,V!$L:$L,0)),"")</f>
        <v>78</v>
      </c>
      <c r="AF10" s="43" t="str">
        <f t="shared" si="4"/>
        <v>Sander Aul</v>
      </c>
      <c r="AG10" s="42">
        <f>IFERROR(INDEX(V!$R:$R,MATCH(AH10,V!$L:$L,0)),"")</f>
        <v>78</v>
      </c>
      <c r="AH10" s="43" t="str">
        <f t="shared" si="5"/>
        <v>Väino Aul</v>
      </c>
      <c r="AI10" s="42" t="str">
        <f>IFERROR(INDEX(V!$R:$R,MATCH(AJ10,V!$L:$L,0)),"")</f>
        <v/>
      </c>
      <c r="AJ10" s="43" t="str">
        <f t="shared" si="6"/>
        <v/>
      </c>
      <c r="AK10" s="42" t="str">
        <f>IFERROR(INDEX(V!$R:$R,MATCH(AL10,V!$L:$L,0)),"")</f>
        <v/>
      </c>
      <c r="AL10" s="43" t="str">
        <f t="shared" si="7"/>
        <v/>
      </c>
      <c r="AM10" s="42" t="str">
        <f>IFERROR(INDEX(V!$R:$R,MATCH(AN10,V!$L:$L,0)),"")</f>
        <v/>
      </c>
      <c r="AN10" s="43" t="str">
        <f t="shared" si="8"/>
        <v/>
      </c>
      <c r="AO10" s="42" t="str">
        <f>IFERROR(INDEX(V!$R:$R,MATCH(AP10,V!$L:$L,0)),"")</f>
        <v/>
      </c>
      <c r="AP10" s="43" t="str">
        <f t="shared" si="9"/>
        <v/>
      </c>
    </row>
    <row r="11" spans="1:42">
      <c r="A11" s="11">
        <v>5</v>
      </c>
      <c r="B11" s="16" t="s">
        <v>393</v>
      </c>
      <c r="C11" s="13">
        <v>13</v>
      </c>
      <c r="D11" s="14" t="s">
        <v>346</v>
      </c>
      <c r="E11" s="14">
        <v>9</v>
      </c>
      <c r="F11" s="15" t="s">
        <v>375</v>
      </c>
      <c r="G11" s="13">
        <v>13</v>
      </c>
      <c r="H11" s="14" t="s">
        <v>346</v>
      </c>
      <c r="I11" s="14">
        <v>5</v>
      </c>
      <c r="J11" s="15" t="s">
        <v>349</v>
      </c>
      <c r="K11" s="13">
        <v>12</v>
      </c>
      <c r="L11" s="14" t="s">
        <v>346</v>
      </c>
      <c r="M11" s="14">
        <v>13</v>
      </c>
      <c r="N11" s="15" t="s">
        <v>356</v>
      </c>
      <c r="O11" s="13">
        <v>13</v>
      </c>
      <c r="P11" s="14" t="s">
        <v>346</v>
      </c>
      <c r="Q11" s="14">
        <v>8</v>
      </c>
      <c r="R11" s="15" t="s">
        <v>360</v>
      </c>
      <c r="S11" s="13"/>
      <c r="T11" s="14"/>
      <c r="U11" s="14"/>
      <c r="V11" s="15"/>
      <c r="W11" s="28">
        <f>IF(C11&gt;E11,W$2,IF(C11&lt;E11,W$4,IF(ISNUMBER(C11),W$3,0)))+IF(G11&gt;I11,W$2,IF(G11&lt;I11,W$4,IF(ISNUMBER(G11),W$3,0)))+IF(K11&gt;M11,W$2,IF(K11&lt;M11,W$4,IF(ISNUMBER(K11),W$3,0)))+IF(O11&gt;Q11,W$2,IF(O11&lt;Q11,W$4,IF(ISNUMBER(O11),W$3,0)))+IF(S11&gt;U11,W$2,IF(S11&lt;U11,W$4,IF(ISNUMBER(S11),W$3,0)))</f>
        <v>3</v>
      </c>
      <c r="X11" s="29">
        <v>14</v>
      </c>
      <c r="Y11" s="29">
        <v>70</v>
      </c>
      <c r="Z11" s="13">
        <f t="shared" si="0"/>
        <v>51</v>
      </c>
      <c r="AA11" s="14" t="s">
        <v>346</v>
      </c>
      <c r="AB11" s="39">
        <f t="shared" si="1"/>
        <v>35</v>
      </c>
      <c r="AC11" s="40">
        <f t="shared" si="2"/>
        <v>16</v>
      </c>
      <c r="AD11" s="41">
        <f t="shared" si="3"/>
        <v>188</v>
      </c>
      <c r="AE11" s="42">
        <f>IFERROR(INDEX(V!$R:$R,MATCH(AF11,V!$L:$L,0)),"")</f>
        <v>102</v>
      </c>
      <c r="AF11" s="43" t="str">
        <f t="shared" si="4"/>
        <v>Elmo Lageda</v>
      </c>
      <c r="AG11" s="42">
        <f>IFERROR(INDEX(V!$R:$R,MATCH(AH11,V!$L:$L,0)),"")</f>
        <v>86</v>
      </c>
      <c r="AH11" s="43" t="str">
        <f t="shared" si="5"/>
        <v>Kenneth Muusikus</v>
      </c>
      <c r="AI11" s="42" t="str">
        <f>IFERROR(INDEX(V!$R:$R,MATCH(AJ11,V!$L:$L,0)),"")</f>
        <v/>
      </c>
      <c r="AJ11" s="43" t="str">
        <f t="shared" si="6"/>
        <v/>
      </c>
      <c r="AK11" s="42" t="str">
        <f>IFERROR(INDEX(V!$R:$R,MATCH(AL11,V!$L:$L,0)),"")</f>
        <v/>
      </c>
      <c r="AL11" s="43" t="str">
        <f t="shared" si="7"/>
        <v/>
      </c>
      <c r="AM11" s="42" t="str">
        <f>IFERROR(INDEX(V!$R:$R,MATCH(AN11,V!$L:$L,0)),"")</f>
        <v/>
      </c>
      <c r="AN11" s="43" t="str">
        <f t="shared" si="8"/>
        <v/>
      </c>
      <c r="AO11" s="42" t="str">
        <f>IFERROR(INDEX(V!$R:$R,MATCH(AP11,V!$L:$L,0)),"")</f>
        <v/>
      </c>
      <c r="AP11" s="43" t="str">
        <f t="shared" si="9"/>
        <v/>
      </c>
    </row>
    <row r="12" spans="1:42">
      <c r="A12" s="11">
        <v>6</v>
      </c>
      <c r="B12" s="17" t="s">
        <v>359</v>
      </c>
      <c r="C12" s="13">
        <v>9</v>
      </c>
      <c r="D12" s="14" t="s">
        <v>346</v>
      </c>
      <c r="E12" s="14">
        <v>10</v>
      </c>
      <c r="F12" s="15" t="s">
        <v>391</v>
      </c>
      <c r="G12" s="13">
        <v>13</v>
      </c>
      <c r="H12" s="14" t="s">
        <v>346</v>
      </c>
      <c r="I12" s="14">
        <v>9</v>
      </c>
      <c r="J12" s="15" t="s">
        <v>355</v>
      </c>
      <c r="K12" s="13">
        <v>11</v>
      </c>
      <c r="L12" s="14" t="s">
        <v>346</v>
      </c>
      <c r="M12" s="14">
        <v>10</v>
      </c>
      <c r="N12" s="15" t="s">
        <v>394</v>
      </c>
      <c r="O12" s="13">
        <v>13</v>
      </c>
      <c r="P12" s="14" t="s">
        <v>346</v>
      </c>
      <c r="Q12" s="14">
        <v>5</v>
      </c>
      <c r="R12" s="15" t="s">
        <v>363</v>
      </c>
      <c r="S12" s="13"/>
      <c r="T12" s="14"/>
      <c r="U12" s="14"/>
      <c r="V12" s="15"/>
      <c r="W12" s="28">
        <f>IF(C12&gt;E12,W$2,IF(C12&lt;E12,W$4,IF(ISNUMBER(C12),W$3,0)))+IF(G12&gt;I12,W$2,IF(G12&lt;I12,W$4,IF(ISNUMBER(G12),W$3,0)))+IF(K12&gt;M12,W$2,IF(K12&lt;M12,W$4,IF(ISNUMBER(K12),W$3,0)))+IF(O12&gt;Q12,W$2,IF(O12&lt;Q12,W$4,IF(ISNUMBER(O12),W$3,0)))+IF(S12&gt;U12,W$2,IF(S12&lt;U12,W$4,IF(ISNUMBER(S12),W$3,0)))</f>
        <v>3</v>
      </c>
      <c r="X12" s="29">
        <v>14</v>
      </c>
      <c r="Y12" s="29">
        <v>66</v>
      </c>
      <c r="Z12" s="13">
        <f t="shared" si="0"/>
        <v>46</v>
      </c>
      <c r="AA12" s="14" t="s">
        <v>346</v>
      </c>
      <c r="AB12" s="39">
        <f t="shared" si="1"/>
        <v>34</v>
      </c>
      <c r="AC12" s="40">
        <f t="shared" si="2"/>
        <v>12</v>
      </c>
      <c r="AD12" s="41">
        <f t="shared" si="3"/>
        <v>322</v>
      </c>
      <c r="AE12" s="42">
        <f>IFERROR(INDEX(V!$R:$R,MATCH(AF12,V!$L:$L,0)),"")</f>
        <v>146</v>
      </c>
      <c r="AF12" s="43" t="str">
        <f t="shared" si="4"/>
        <v>Kristel Tihhonjuk</v>
      </c>
      <c r="AG12" s="42">
        <f>IFERROR(INDEX(V!$R:$R,MATCH(AH12,V!$L:$L,0)),"")</f>
        <v>176</v>
      </c>
      <c r="AH12" s="43" t="str">
        <f t="shared" si="5"/>
        <v>Vadim Tihhonjuk</v>
      </c>
      <c r="AI12" s="42" t="str">
        <f>IFERROR(INDEX(V!$R:$R,MATCH(AJ12,V!$L:$L,0)),"")</f>
        <v/>
      </c>
      <c r="AJ12" s="43" t="str">
        <f t="shared" si="6"/>
        <v/>
      </c>
      <c r="AK12" s="42" t="str">
        <f>IFERROR(INDEX(V!$R:$R,MATCH(AL12,V!$L:$L,0)),"")</f>
        <v/>
      </c>
      <c r="AL12" s="43" t="str">
        <f t="shared" si="7"/>
        <v/>
      </c>
      <c r="AM12" s="42" t="str">
        <f>IFERROR(INDEX(V!$R:$R,MATCH(AN12,V!$L:$L,0)),"")</f>
        <v/>
      </c>
      <c r="AN12" s="43" t="str">
        <f t="shared" si="8"/>
        <v/>
      </c>
      <c r="AO12" s="42" t="str">
        <f>IFERROR(INDEX(V!$R:$R,MATCH(AP12,V!$L:$L,0)),"")</f>
        <v/>
      </c>
      <c r="AP12" s="43" t="str">
        <f t="shared" si="9"/>
        <v/>
      </c>
    </row>
    <row r="13" spans="1:42">
      <c r="A13" s="11">
        <v>7</v>
      </c>
      <c r="B13" s="18" t="s">
        <v>387</v>
      </c>
      <c r="C13" s="13">
        <v>5</v>
      </c>
      <c r="D13" s="14" t="s">
        <v>346</v>
      </c>
      <c r="E13" s="14">
        <v>13</v>
      </c>
      <c r="F13" s="15" t="s">
        <v>356</v>
      </c>
      <c r="G13" s="13">
        <v>13</v>
      </c>
      <c r="H13" s="14" t="s">
        <v>346</v>
      </c>
      <c r="I13" s="14">
        <v>5</v>
      </c>
      <c r="J13" s="15" t="s">
        <v>353</v>
      </c>
      <c r="K13" s="13">
        <v>13</v>
      </c>
      <c r="L13" s="14" t="s">
        <v>346</v>
      </c>
      <c r="M13" s="14">
        <v>3</v>
      </c>
      <c r="N13" s="15" t="s">
        <v>347</v>
      </c>
      <c r="O13" s="13">
        <v>13</v>
      </c>
      <c r="P13" s="14" t="s">
        <v>346</v>
      </c>
      <c r="Q13" s="14">
        <v>5</v>
      </c>
      <c r="R13" s="15" t="s">
        <v>361</v>
      </c>
      <c r="S13" s="13"/>
      <c r="T13" s="14"/>
      <c r="U13" s="14"/>
      <c r="V13" s="15"/>
      <c r="W13" s="28">
        <f>IF(C13&gt;E13,W$2,IF(C13&lt;E13,W$4,IF(ISNUMBER(C13),W$3,0)))+IF(G13&gt;I13,W$2,IF(G13&lt;I13,W$4,IF(ISNUMBER(G13),W$3,0)))+IF(K13&gt;M13,W$2,IF(K13&lt;M13,W$4,IF(ISNUMBER(K13),W$3,0)))+IF(O13&gt;Q13,W$2,IF(O13&lt;Q13,W$4,IF(ISNUMBER(O13),W$3,0)))+IF(S13&gt;U13,W$2,IF(S13&lt;U13,W$4,IF(ISNUMBER(S13),W$3,0)))</f>
        <v>3</v>
      </c>
      <c r="X13" s="29">
        <v>10</v>
      </c>
      <c r="Y13" s="29">
        <v>70</v>
      </c>
      <c r="Z13" s="13">
        <f t="shared" si="0"/>
        <v>44</v>
      </c>
      <c r="AA13" s="14" t="s">
        <v>346</v>
      </c>
      <c r="AB13" s="39">
        <f t="shared" si="1"/>
        <v>26</v>
      </c>
      <c r="AC13" s="40">
        <f t="shared" si="2"/>
        <v>18</v>
      </c>
      <c r="AD13" s="41">
        <f t="shared" si="3"/>
        <v>244</v>
      </c>
      <c r="AE13" s="42">
        <f>IFERROR(INDEX(V!$R:$R,MATCH(AF13,V!$L:$L,0)),"")</f>
        <v>144</v>
      </c>
      <c r="AF13" s="43" t="str">
        <f t="shared" si="4"/>
        <v>Oleg Rõndenkov</v>
      </c>
      <c r="AG13" s="42">
        <f>IFERROR(INDEX(V!$R:$R,MATCH(AH13,V!$L:$L,0)),"")</f>
        <v>100</v>
      </c>
      <c r="AH13" s="43" t="str">
        <f t="shared" si="5"/>
        <v>Urmas Jõeäär</v>
      </c>
      <c r="AI13" s="42" t="str">
        <f>IFERROR(INDEX(V!$R:$R,MATCH(AJ13,V!$L:$L,0)),"")</f>
        <v/>
      </c>
      <c r="AJ13" s="43" t="str">
        <f t="shared" si="6"/>
        <v/>
      </c>
      <c r="AK13" s="42" t="str">
        <f>IFERROR(INDEX(V!$R:$R,MATCH(AL13,V!$L:$L,0)),"")</f>
        <v/>
      </c>
      <c r="AL13" s="43" t="str">
        <f t="shared" si="7"/>
        <v/>
      </c>
      <c r="AM13" s="42" t="str">
        <f>IFERROR(INDEX(V!$R:$R,MATCH(AN13,V!$L:$L,0)),"")</f>
        <v/>
      </c>
      <c r="AN13" s="43" t="str">
        <f t="shared" si="8"/>
        <v/>
      </c>
      <c r="AO13" s="42" t="str">
        <f>IFERROR(INDEX(V!$R:$R,MATCH(AP13,V!$L:$L,0)),"")</f>
        <v/>
      </c>
      <c r="AP13" s="43" t="str">
        <f t="shared" si="9"/>
        <v/>
      </c>
    </row>
    <row r="14" spans="1:42">
      <c r="A14" s="11">
        <v>8</v>
      </c>
      <c r="B14" s="18" t="s">
        <v>390</v>
      </c>
      <c r="C14" s="13">
        <v>13</v>
      </c>
      <c r="D14" s="14" t="s">
        <v>346</v>
      </c>
      <c r="E14" s="14">
        <v>1</v>
      </c>
      <c r="F14" s="15" t="s">
        <v>348</v>
      </c>
      <c r="G14" s="13">
        <v>13</v>
      </c>
      <c r="H14" s="14" t="s">
        <v>346</v>
      </c>
      <c r="I14" s="14">
        <v>4</v>
      </c>
      <c r="J14" s="15" t="s">
        <v>356</v>
      </c>
      <c r="K14" s="13">
        <v>6</v>
      </c>
      <c r="L14" s="14" t="s">
        <v>346</v>
      </c>
      <c r="M14" s="14">
        <v>13</v>
      </c>
      <c r="N14" s="15" t="s">
        <v>369</v>
      </c>
      <c r="O14" s="13">
        <v>7</v>
      </c>
      <c r="P14" s="14" t="s">
        <v>346</v>
      </c>
      <c r="Q14" s="14">
        <v>12</v>
      </c>
      <c r="R14" s="15" t="s">
        <v>391</v>
      </c>
      <c r="S14" s="13"/>
      <c r="T14" s="14"/>
      <c r="U14" s="14"/>
      <c r="V14" s="15"/>
      <c r="W14" s="28">
        <f>IF(C14&gt;E14,W$2,IF(C14&lt;E14,W$4,IF(ISNUMBER(C14),W$3,0)))+IF(G14&gt;I14,W$2,IF(G14&lt;I14,W$4,IF(ISNUMBER(G14),W$3,0)))+IF(K14&gt;M14,W$2,IF(K14&lt;M14,W$4,IF(ISNUMBER(K14),W$3,0)))+IF(O14&gt;Q14,W$2,IF(O14&lt;Q14,W$4,IF(ISNUMBER(O14),W$3,0)))+IF(S14&gt;U14,W$2,IF(S14&lt;U14,W$4,IF(ISNUMBER(S14),W$3,0)))</f>
        <v>2</v>
      </c>
      <c r="X14" s="29">
        <v>22</v>
      </c>
      <c r="Y14" s="29">
        <v>70</v>
      </c>
      <c r="Z14" s="13">
        <f t="shared" si="0"/>
        <v>39</v>
      </c>
      <c r="AA14" s="14" t="s">
        <v>346</v>
      </c>
      <c r="AB14" s="39">
        <f t="shared" si="1"/>
        <v>30</v>
      </c>
      <c r="AC14" s="40">
        <f t="shared" si="2"/>
        <v>9</v>
      </c>
      <c r="AD14" s="41">
        <f t="shared" si="3"/>
        <v>124</v>
      </c>
      <c r="AE14" s="42">
        <f>IFERROR(INDEX(V!$R:$R,MATCH(AF14,V!$L:$L,0)),"")</f>
        <v>54</v>
      </c>
      <c r="AF14" s="43" t="str">
        <f t="shared" si="4"/>
        <v>Janek Tarto</v>
      </c>
      <c r="AG14" s="42">
        <f>IFERROR(INDEX(V!$R:$R,MATCH(AH14,V!$L:$L,0)),"")</f>
        <v>70</v>
      </c>
      <c r="AH14" s="43" t="str">
        <f t="shared" si="5"/>
        <v>Melika Lehtla</v>
      </c>
      <c r="AI14" s="42" t="str">
        <f>IFERROR(INDEX(V!$R:$R,MATCH(AJ14,V!$L:$L,0)),"")</f>
        <v/>
      </c>
      <c r="AJ14" s="43" t="str">
        <f t="shared" si="6"/>
        <v/>
      </c>
      <c r="AK14" s="42" t="str">
        <f>IFERROR(INDEX(V!$R:$R,MATCH(AL14,V!$L:$L,0)),"")</f>
        <v/>
      </c>
      <c r="AL14" s="43" t="str">
        <f t="shared" si="7"/>
        <v/>
      </c>
      <c r="AM14" s="42" t="str">
        <f>IFERROR(INDEX(V!$R:$R,MATCH(AN14,V!$L:$L,0)),"")</f>
        <v/>
      </c>
      <c r="AN14" s="43" t="str">
        <f t="shared" si="8"/>
        <v/>
      </c>
      <c r="AO14" s="42" t="str">
        <f>IFERROR(INDEX(V!$R:$R,MATCH(AP14,V!$L:$L,0)),"")</f>
        <v/>
      </c>
      <c r="AP14" s="43" t="str">
        <f t="shared" si="9"/>
        <v/>
      </c>
    </row>
    <row r="15" spans="1:42">
      <c r="A15" s="11">
        <v>9</v>
      </c>
      <c r="B15" s="17" t="s">
        <v>356</v>
      </c>
      <c r="C15" s="13">
        <v>13</v>
      </c>
      <c r="D15" s="14" t="s">
        <v>346</v>
      </c>
      <c r="E15" s="14">
        <v>5</v>
      </c>
      <c r="F15" s="15" t="s">
        <v>387</v>
      </c>
      <c r="G15" s="13">
        <v>4</v>
      </c>
      <c r="H15" s="14" t="s">
        <v>346</v>
      </c>
      <c r="I15" s="14">
        <v>13</v>
      </c>
      <c r="J15" s="15" t="s">
        <v>390</v>
      </c>
      <c r="K15" s="13">
        <v>13</v>
      </c>
      <c r="L15" s="14" t="s">
        <v>346</v>
      </c>
      <c r="M15" s="14">
        <v>12</v>
      </c>
      <c r="N15" s="15" t="s">
        <v>393</v>
      </c>
      <c r="O15" s="13">
        <v>10</v>
      </c>
      <c r="P15" s="14" t="s">
        <v>346</v>
      </c>
      <c r="Q15" s="14">
        <v>13</v>
      </c>
      <c r="R15" s="15" t="s">
        <v>388</v>
      </c>
      <c r="S15" s="13"/>
      <c r="T15" s="14"/>
      <c r="U15" s="14"/>
      <c r="V15" s="15"/>
      <c r="W15" s="28">
        <f>IF(C15&gt;E15,W$2,IF(C15&lt;E15,W$4,IF(ISNUMBER(C15),W$3,0)))+IF(G15&gt;I15,W$2,IF(G15&lt;I15,W$4,IF(ISNUMBER(G15),W$3,0)))+IF(K15&gt;M15,W$2,IF(K15&lt;M15,W$4,IF(ISNUMBER(K15),W$3,0)))+IF(O15&gt;Q15,W$2,IF(O15&lt;Q15,W$4,IF(ISNUMBER(O15),W$3,0)))+IF(S15&gt;U15,W$2,IF(S15&lt;U15,W$4,IF(ISNUMBER(S15),W$3,0)))</f>
        <v>2</v>
      </c>
      <c r="X15" s="29">
        <v>22</v>
      </c>
      <c r="Y15" s="29">
        <v>60</v>
      </c>
      <c r="Z15" s="13">
        <f t="shared" si="0"/>
        <v>40</v>
      </c>
      <c r="AA15" s="14" t="s">
        <v>346</v>
      </c>
      <c r="AB15" s="39">
        <f t="shared" si="1"/>
        <v>43</v>
      </c>
      <c r="AC15" s="40">
        <f t="shared" si="2"/>
        <v>-3</v>
      </c>
      <c r="AD15" s="41">
        <f t="shared" si="3"/>
        <v>140</v>
      </c>
      <c r="AE15" s="42">
        <f>IFERROR(INDEX(V!$R:$R,MATCH(AF15,V!$L:$L,0)),"")</f>
        <v>70</v>
      </c>
      <c r="AF15" s="43" t="str">
        <f t="shared" si="4"/>
        <v>Ljudmila Varendi</v>
      </c>
      <c r="AG15" s="42">
        <f>IFERROR(INDEX(V!$R:$R,MATCH(AH15,V!$L:$L,0)),"")</f>
        <v>70</v>
      </c>
      <c r="AH15" s="43" t="str">
        <f t="shared" si="5"/>
        <v>Viktor Švarõgin</v>
      </c>
      <c r="AI15" s="42" t="str">
        <f>IFERROR(INDEX(V!$R:$R,MATCH(AJ15,V!$L:$L,0)),"")</f>
        <v/>
      </c>
      <c r="AJ15" s="43" t="str">
        <f t="shared" si="6"/>
        <v/>
      </c>
      <c r="AK15" s="42" t="str">
        <f>IFERROR(INDEX(V!$R:$R,MATCH(AL15,V!$L:$L,0)),"")</f>
        <v/>
      </c>
      <c r="AL15" s="43" t="str">
        <f t="shared" si="7"/>
        <v/>
      </c>
      <c r="AM15" s="42" t="str">
        <f>IFERROR(INDEX(V!$R:$R,MATCH(AN15,V!$L:$L,0)),"")</f>
        <v/>
      </c>
      <c r="AN15" s="43" t="str">
        <f t="shared" si="8"/>
        <v/>
      </c>
      <c r="AO15" s="42" t="str">
        <f>IFERROR(INDEX(V!$R:$R,MATCH(AP15,V!$L:$L,0)),"")</f>
        <v/>
      </c>
      <c r="AP15" s="43" t="str">
        <f t="shared" si="9"/>
        <v/>
      </c>
    </row>
    <row r="16" spans="1:42">
      <c r="A16" s="11">
        <v>10</v>
      </c>
      <c r="B16" s="18" t="s">
        <v>360</v>
      </c>
      <c r="C16" s="13">
        <v>13</v>
      </c>
      <c r="D16" s="14" t="s">
        <v>346</v>
      </c>
      <c r="E16" s="14">
        <v>5</v>
      </c>
      <c r="F16" s="15" t="s">
        <v>392</v>
      </c>
      <c r="G16" s="13">
        <v>3</v>
      </c>
      <c r="H16" s="14" t="s">
        <v>346</v>
      </c>
      <c r="I16" s="14">
        <v>13</v>
      </c>
      <c r="J16" s="15" t="s">
        <v>369</v>
      </c>
      <c r="K16" s="13">
        <v>13</v>
      </c>
      <c r="L16" s="14" t="s">
        <v>346</v>
      </c>
      <c r="M16" s="14">
        <v>3</v>
      </c>
      <c r="N16" s="15" t="s">
        <v>348</v>
      </c>
      <c r="O16" s="13">
        <v>8</v>
      </c>
      <c r="P16" s="14" t="s">
        <v>346</v>
      </c>
      <c r="Q16" s="14">
        <v>13</v>
      </c>
      <c r="R16" s="15" t="s">
        <v>393</v>
      </c>
      <c r="S16" s="13"/>
      <c r="T16" s="14"/>
      <c r="U16" s="14"/>
      <c r="V16" s="15"/>
      <c r="W16" s="28">
        <f t="shared" ref="W16:W25" si="10">IF(C16&gt;E16,W$2,IF(C16&lt;E16,W$4,IF(ISNUMBER(C16),W$3,0)))+IF(G16&gt;I16,W$2,IF(G16&lt;I16,W$4,IF(ISNUMBER(G16),W$3,0)))+IF(K16&gt;M16,W$2,IF(K16&lt;M16,W$4,IF(ISNUMBER(K16),W$3,0)))+IF(O16&gt;Q16,W$2,IF(O16&lt;Q16,W$4,IF(ISNUMBER(O16),W$3,0)))+IF(S16&gt;U16,W$2,IF(S16&lt;U16,W$4,IF(ISNUMBER(S16),W$3,0)))</f>
        <v>2</v>
      </c>
      <c r="X16" s="29">
        <v>18</v>
      </c>
      <c r="Y16" s="29">
        <v>58</v>
      </c>
      <c r="Z16" s="13">
        <f t="shared" ref="Z16:Z25" si="11">C16+G16+K16+O16+S16</f>
        <v>37</v>
      </c>
      <c r="AA16" s="14" t="s">
        <v>346</v>
      </c>
      <c r="AB16" s="39">
        <f t="shared" ref="AB16:AB25" si="12">E16+I16+M16+Q16+U16</f>
        <v>34</v>
      </c>
      <c r="AC16" s="40">
        <f t="shared" ref="AC16:AC25" si="13">Z16-AB16</f>
        <v>3</v>
      </c>
      <c r="AD16" s="41">
        <f t="shared" ref="AD16:AD25" si="14">SUM(AE16:AL16)</f>
        <v>292</v>
      </c>
      <c r="AE16" s="42">
        <f>IFERROR(INDEX(V!$R:$R,MATCH(AF16,V!$L:$L,0)),"")</f>
        <v>146</v>
      </c>
      <c r="AF16" s="43" t="str">
        <f t="shared" ref="AF16:AF25" si="15">IFERROR(LEFT($B16,(FIND(",",$B16,1)-1)),"")</f>
        <v>Meelis Luud</v>
      </c>
      <c r="AG16" s="42">
        <f>IFERROR(INDEX(V!$R:$R,MATCH(AH16,V!$L:$L,0)),"")</f>
        <v>146</v>
      </c>
      <c r="AH16" s="43" t="str">
        <f t="shared" ref="AH16:AH25" si="16">IFERROR(MID($B16,FIND(", ",$B16)+2,256),"")</f>
        <v>Sander Rose</v>
      </c>
      <c r="AI16" s="42" t="str">
        <f>IFERROR(INDEX(V!$R:$R,MATCH(AJ16,V!$L:$L,0)),"")</f>
        <v/>
      </c>
      <c r="AJ16" s="43" t="str">
        <f t="shared" ref="AJ16:AJ25" si="17">IFERROR(MID($B16,FIND("^",SUBSTITUTE($B16,", ","^",1))+2,FIND("^",SUBSTITUTE($B16,", ","^",2))-FIND("^",SUBSTITUTE($B16,", ","^",1))-2),"")</f>
        <v/>
      </c>
      <c r="AK16" s="42" t="str">
        <f>IFERROR(INDEX(V!$R:$R,MATCH(AL16,V!$L:$L,0)),"")</f>
        <v/>
      </c>
      <c r="AL16" s="43" t="str">
        <f t="shared" ref="AL16:AL25" si="18">IFERROR(MID($B16,FIND(", ",$B16,FIND(", ",$B16,FIND(", ",$B16))+1)+2,30000),"")</f>
        <v/>
      </c>
      <c r="AM16" s="42" t="str">
        <f>IFERROR(INDEX(V!$R:$R,MATCH(AN16,V!$L:$L,0)),"")</f>
        <v/>
      </c>
      <c r="AN16" s="43" t="str">
        <f t="shared" ref="AN16:AN25" si="19">IFERROR(MID($B16,FIND(", ",$B16,FIND(", ",$B16)+1)+2,FIND(", ",$B16,FIND(", ",$B16,FIND(", ",$B16)+1)+1)-FIND(", ",$B16,FIND(", ",$B16)+1)-2),"")</f>
        <v/>
      </c>
      <c r="AO16" s="42" t="str">
        <f>IFERROR(INDEX(V!$R:$R,MATCH(AP16,V!$L:$L,0)),"")</f>
        <v/>
      </c>
      <c r="AP16" s="43" t="str">
        <f t="shared" ref="AP16:AP25" si="20">IFERROR(MID($B16,FIND(", ",$B16,FIND(", ",$B16,FIND(", ",$B16)+1)+1)+2,30000),"")</f>
        <v/>
      </c>
    </row>
    <row r="17" spans="1:42">
      <c r="A17" s="11">
        <v>11</v>
      </c>
      <c r="B17" s="17" t="s">
        <v>361</v>
      </c>
      <c r="C17" s="13">
        <v>13</v>
      </c>
      <c r="D17" s="14" t="s">
        <v>346</v>
      </c>
      <c r="E17" s="14">
        <v>9</v>
      </c>
      <c r="F17" s="15" t="s">
        <v>355</v>
      </c>
      <c r="G17" s="13">
        <v>8</v>
      </c>
      <c r="H17" s="14" t="s">
        <v>346</v>
      </c>
      <c r="I17" s="14">
        <v>7</v>
      </c>
      <c r="J17" s="15" t="s">
        <v>363</v>
      </c>
      <c r="K17" s="13">
        <v>4</v>
      </c>
      <c r="L17" s="14" t="s">
        <v>346</v>
      </c>
      <c r="M17" s="14">
        <v>13</v>
      </c>
      <c r="N17" s="15" t="s">
        <v>350</v>
      </c>
      <c r="O17" s="13">
        <v>5</v>
      </c>
      <c r="P17" s="14" t="s">
        <v>346</v>
      </c>
      <c r="Q17" s="14">
        <v>13</v>
      </c>
      <c r="R17" s="15" t="s">
        <v>387</v>
      </c>
      <c r="S17" s="13"/>
      <c r="T17" s="14"/>
      <c r="U17" s="14"/>
      <c r="V17" s="15"/>
      <c r="W17" s="28">
        <f t="shared" si="10"/>
        <v>2</v>
      </c>
      <c r="X17" s="29">
        <v>16</v>
      </c>
      <c r="Y17" s="29">
        <v>62</v>
      </c>
      <c r="Z17" s="13">
        <f t="shared" si="11"/>
        <v>30</v>
      </c>
      <c r="AA17" s="14" t="s">
        <v>346</v>
      </c>
      <c r="AB17" s="39">
        <f t="shared" si="12"/>
        <v>42</v>
      </c>
      <c r="AC17" s="40">
        <f t="shared" si="13"/>
        <v>-12</v>
      </c>
      <c r="AD17" s="41">
        <f t="shared" si="14"/>
        <v>52</v>
      </c>
      <c r="AE17" s="42">
        <f>IFERROR(INDEX(V!$R:$R,MATCH(AF17,V!$L:$L,0)),"")</f>
        <v>26</v>
      </c>
      <c r="AF17" s="43" t="str">
        <f t="shared" si="15"/>
        <v>Heili Vasser</v>
      </c>
      <c r="AG17" s="42">
        <f>IFERROR(INDEX(V!$R:$R,MATCH(AH17,V!$L:$L,0)),"")</f>
        <v>26</v>
      </c>
      <c r="AH17" s="43" t="str">
        <f t="shared" si="16"/>
        <v>Vello Vasser</v>
      </c>
      <c r="AI17" s="42" t="str">
        <f>IFERROR(INDEX(V!$R:$R,MATCH(AJ17,V!$L:$L,0)),"")</f>
        <v/>
      </c>
      <c r="AJ17" s="43" t="str">
        <f t="shared" si="17"/>
        <v/>
      </c>
      <c r="AK17" s="42" t="str">
        <f>IFERROR(INDEX(V!$R:$R,MATCH(AL17,V!$L:$L,0)),"")</f>
        <v/>
      </c>
      <c r="AL17" s="43" t="str">
        <f t="shared" si="18"/>
        <v/>
      </c>
      <c r="AM17" s="42" t="str">
        <f>IFERROR(INDEX(V!$R:$R,MATCH(AN17,V!$L:$L,0)),"")</f>
        <v/>
      </c>
      <c r="AN17" s="43" t="str">
        <f t="shared" si="19"/>
        <v/>
      </c>
      <c r="AO17" s="42" t="str">
        <f>IFERROR(INDEX(V!$R:$R,MATCH(AP17,V!$L:$L,0)),"")</f>
        <v/>
      </c>
      <c r="AP17" s="43" t="str">
        <f t="shared" si="20"/>
        <v/>
      </c>
    </row>
    <row r="18" spans="1:42">
      <c r="A18" s="11">
        <v>12</v>
      </c>
      <c r="B18" s="18" t="s">
        <v>394</v>
      </c>
      <c r="C18" s="13">
        <v>7</v>
      </c>
      <c r="D18" s="14" t="s">
        <v>346</v>
      </c>
      <c r="E18" s="14">
        <v>13</v>
      </c>
      <c r="F18" s="15" t="s">
        <v>363</v>
      </c>
      <c r="G18" s="13">
        <v>13</v>
      </c>
      <c r="H18" s="14" t="s">
        <v>346</v>
      </c>
      <c r="I18" s="14">
        <v>8</v>
      </c>
      <c r="J18" s="15" t="s">
        <v>375</v>
      </c>
      <c r="K18" s="13">
        <v>10</v>
      </c>
      <c r="L18" s="14" t="s">
        <v>346</v>
      </c>
      <c r="M18" s="14">
        <v>11</v>
      </c>
      <c r="N18" s="15" t="s">
        <v>359</v>
      </c>
      <c r="O18" s="13">
        <v>13</v>
      </c>
      <c r="P18" s="14" t="s">
        <v>346</v>
      </c>
      <c r="Q18" s="14">
        <v>8</v>
      </c>
      <c r="R18" s="15" t="s">
        <v>353</v>
      </c>
      <c r="S18" s="13"/>
      <c r="T18" s="14"/>
      <c r="U18" s="14"/>
      <c r="V18" s="15"/>
      <c r="W18" s="28">
        <f t="shared" si="10"/>
        <v>2</v>
      </c>
      <c r="X18" s="29">
        <v>14</v>
      </c>
      <c r="Y18" s="29">
        <v>58</v>
      </c>
      <c r="Z18" s="13">
        <f t="shared" si="11"/>
        <v>43</v>
      </c>
      <c r="AA18" s="14" t="s">
        <v>346</v>
      </c>
      <c r="AB18" s="39">
        <f t="shared" si="12"/>
        <v>40</v>
      </c>
      <c r="AC18" s="40">
        <f t="shared" si="13"/>
        <v>3</v>
      </c>
      <c r="AD18" s="41">
        <f t="shared" si="14"/>
        <v>42</v>
      </c>
      <c r="AE18" s="42">
        <f>IFERROR(INDEX(V!$R:$R,MATCH(AF18,V!$L:$L,0)),"")</f>
        <v>24</v>
      </c>
      <c r="AF18" s="43" t="str">
        <f t="shared" si="15"/>
        <v>Ivar Viljaste</v>
      </c>
      <c r="AG18" s="42">
        <f>IFERROR(INDEX(V!$R:$R,MATCH(AH18,V!$L:$L,0)),"")</f>
        <v>18</v>
      </c>
      <c r="AH18" s="43" t="str">
        <f t="shared" si="16"/>
        <v>Kristo Viljaste</v>
      </c>
      <c r="AI18" s="42" t="str">
        <f>IFERROR(INDEX(V!$R:$R,MATCH(AJ18,V!$L:$L,0)),"")</f>
        <v/>
      </c>
      <c r="AJ18" s="43" t="str">
        <f t="shared" si="17"/>
        <v/>
      </c>
      <c r="AK18" s="42" t="str">
        <f>IFERROR(INDEX(V!$R:$R,MATCH(AL18,V!$L:$L,0)),"")</f>
        <v/>
      </c>
      <c r="AL18" s="43" t="str">
        <f t="shared" si="18"/>
        <v/>
      </c>
      <c r="AM18" s="42" t="str">
        <f>IFERROR(INDEX(V!$R:$R,MATCH(AN18,V!$L:$L,0)),"")</f>
        <v/>
      </c>
      <c r="AN18" s="43" t="str">
        <f t="shared" si="19"/>
        <v/>
      </c>
      <c r="AO18" s="42" t="str">
        <f>IFERROR(INDEX(V!$R:$R,MATCH(AP18,V!$L:$L,0)),"")</f>
        <v/>
      </c>
      <c r="AP18" s="43" t="str">
        <f t="shared" si="20"/>
        <v/>
      </c>
    </row>
    <row r="19" spans="1:42">
      <c r="A19" s="11">
        <v>13</v>
      </c>
      <c r="B19" s="17" t="s">
        <v>375</v>
      </c>
      <c r="C19" s="13">
        <v>9</v>
      </c>
      <c r="D19" s="14" t="s">
        <v>346</v>
      </c>
      <c r="E19" s="14">
        <v>13</v>
      </c>
      <c r="F19" s="15" t="s">
        <v>393</v>
      </c>
      <c r="G19" s="13">
        <v>8</v>
      </c>
      <c r="H19" s="14" t="s">
        <v>346</v>
      </c>
      <c r="I19" s="14">
        <v>13</v>
      </c>
      <c r="J19" s="15" t="s">
        <v>394</v>
      </c>
      <c r="K19" s="13">
        <v>13</v>
      </c>
      <c r="L19" s="14" t="s">
        <v>346</v>
      </c>
      <c r="M19" s="14">
        <v>8</v>
      </c>
      <c r="N19" s="15" t="s">
        <v>355</v>
      </c>
      <c r="O19" s="13">
        <v>13</v>
      </c>
      <c r="P19" s="14" t="s">
        <v>346</v>
      </c>
      <c r="Q19" s="14">
        <v>9</v>
      </c>
      <c r="R19" s="15" t="s">
        <v>347</v>
      </c>
      <c r="S19" s="13"/>
      <c r="T19" s="14"/>
      <c r="U19" s="14"/>
      <c r="V19" s="15"/>
      <c r="W19" s="28">
        <f t="shared" si="10"/>
        <v>2</v>
      </c>
      <c r="X19" s="29">
        <v>12</v>
      </c>
      <c r="Y19" s="29">
        <v>62</v>
      </c>
      <c r="Z19" s="13">
        <f t="shared" si="11"/>
        <v>43</v>
      </c>
      <c r="AA19" s="14" t="s">
        <v>346</v>
      </c>
      <c r="AB19" s="39">
        <f t="shared" si="12"/>
        <v>43</v>
      </c>
      <c r="AC19" s="40">
        <f t="shared" si="13"/>
        <v>0</v>
      </c>
      <c r="AD19" s="41">
        <f t="shared" si="14"/>
        <v>158</v>
      </c>
      <c r="AE19" s="42">
        <f>IFERROR(INDEX(V!$R:$R,MATCH(AF19,V!$L:$L,0)),"")</f>
        <v>98</v>
      </c>
      <c r="AF19" s="43" t="str">
        <f t="shared" si="15"/>
        <v>Marko Rooden</v>
      </c>
      <c r="AG19" s="42">
        <f>IFERROR(INDEX(V!$R:$R,MATCH(AH19,V!$L:$L,0)),"")</f>
        <v>60</v>
      </c>
      <c r="AH19" s="43" t="str">
        <f t="shared" si="16"/>
        <v>Martin Kuusmann</v>
      </c>
      <c r="AI19" s="42" t="str">
        <f>IFERROR(INDEX(V!$R:$R,MATCH(AJ19,V!$L:$L,0)),"")</f>
        <v/>
      </c>
      <c r="AJ19" s="43" t="str">
        <f t="shared" si="17"/>
        <v/>
      </c>
      <c r="AK19" s="42" t="str">
        <f>IFERROR(INDEX(V!$R:$R,MATCH(AL19,V!$L:$L,0)),"")</f>
        <v/>
      </c>
      <c r="AL19" s="43" t="str">
        <f t="shared" si="18"/>
        <v/>
      </c>
      <c r="AM19" s="42" t="str">
        <f>IFERROR(INDEX(V!$R:$R,MATCH(AN19,V!$L:$L,0)),"")</f>
        <v/>
      </c>
      <c r="AN19" s="43" t="str">
        <f t="shared" si="19"/>
        <v/>
      </c>
      <c r="AO19" s="42" t="str">
        <f>IFERROR(INDEX(V!$R:$R,MATCH(AP19,V!$L:$L,0)),"")</f>
        <v/>
      </c>
      <c r="AP19" s="43" t="str">
        <f t="shared" si="20"/>
        <v/>
      </c>
    </row>
    <row r="20" spans="1:42">
      <c r="A20" s="11">
        <v>14</v>
      </c>
      <c r="B20" s="18" t="s">
        <v>348</v>
      </c>
      <c r="C20" s="13">
        <v>1</v>
      </c>
      <c r="D20" s="14" t="s">
        <v>346</v>
      </c>
      <c r="E20" s="14">
        <v>13</v>
      </c>
      <c r="F20" s="15" t="s">
        <v>390</v>
      </c>
      <c r="G20" s="13">
        <v>12</v>
      </c>
      <c r="H20" s="14" t="s">
        <v>346</v>
      </c>
      <c r="I20" s="14">
        <v>9</v>
      </c>
      <c r="J20" s="15" t="s">
        <v>347</v>
      </c>
      <c r="K20" s="13">
        <v>3</v>
      </c>
      <c r="L20" s="14" t="s">
        <v>346</v>
      </c>
      <c r="M20" s="14">
        <v>13</v>
      </c>
      <c r="N20" s="15" t="s">
        <v>360</v>
      </c>
      <c r="O20" s="13">
        <v>13</v>
      </c>
      <c r="P20" s="14" t="s">
        <v>346</v>
      </c>
      <c r="Q20" s="14">
        <v>8</v>
      </c>
      <c r="R20" s="15" t="s">
        <v>349</v>
      </c>
      <c r="S20" s="13"/>
      <c r="T20" s="14"/>
      <c r="U20" s="14"/>
      <c r="V20" s="15"/>
      <c r="W20" s="28">
        <f t="shared" si="10"/>
        <v>2</v>
      </c>
      <c r="X20" s="29">
        <v>10</v>
      </c>
      <c r="Y20" s="29">
        <v>78</v>
      </c>
      <c r="Z20" s="13">
        <f t="shared" si="11"/>
        <v>29</v>
      </c>
      <c r="AA20" s="14" t="s">
        <v>346</v>
      </c>
      <c r="AB20" s="39">
        <f t="shared" si="12"/>
        <v>43</v>
      </c>
      <c r="AC20" s="40">
        <f t="shared" si="13"/>
        <v>-14</v>
      </c>
      <c r="AD20" s="41">
        <f t="shared" si="14"/>
        <v>246</v>
      </c>
      <c r="AE20" s="42">
        <f>IFERROR(INDEX(V!$R:$R,MATCH(AF20,V!$L:$L,0)),"")</f>
        <v>148</v>
      </c>
      <c r="AF20" s="43" t="str">
        <f t="shared" si="15"/>
        <v>Olav Türk</v>
      </c>
      <c r="AG20" s="42">
        <f>IFERROR(INDEX(V!$R:$R,MATCH(AH20,V!$L:$L,0)),"")</f>
        <v>98</v>
      </c>
      <c r="AH20" s="43" t="str">
        <f t="shared" si="16"/>
        <v>Sirje Maala</v>
      </c>
      <c r="AI20" s="42" t="str">
        <f>IFERROR(INDEX(V!$R:$R,MATCH(AJ20,V!$L:$L,0)),"")</f>
        <v/>
      </c>
      <c r="AJ20" s="43" t="str">
        <f t="shared" si="17"/>
        <v/>
      </c>
      <c r="AK20" s="42" t="str">
        <f>IFERROR(INDEX(V!$R:$R,MATCH(AL20,V!$L:$L,0)),"")</f>
        <v/>
      </c>
      <c r="AL20" s="43" t="str">
        <f t="shared" si="18"/>
        <v/>
      </c>
      <c r="AM20" s="42" t="str">
        <f>IFERROR(INDEX(V!$R:$R,MATCH(AN20,V!$L:$L,0)),"")</f>
        <v/>
      </c>
      <c r="AN20" s="43" t="str">
        <f t="shared" si="19"/>
        <v/>
      </c>
      <c r="AO20" s="42" t="str">
        <f>IFERROR(INDEX(V!$R:$R,MATCH(AP20,V!$L:$L,0)),"")</f>
        <v/>
      </c>
      <c r="AP20" s="43" t="str">
        <f t="shared" si="20"/>
        <v/>
      </c>
    </row>
    <row r="21" spans="1:42">
      <c r="A21" s="11">
        <v>15</v>
      </c>
      <c r="B21" s="17" t="s">
        <v>363</v>
      </c>
      <c r="C21" s="13">
        <v>13</v>
      </c>
      <c r="D21" s="14" t="s">
        <v>346</v>
      </c>
      <c r="E21" s="14">
        <v>7</v>
      </c>
      <c r="F21" s="15" t="s">
        <v>394</v>
      </c>
      <c r="G21" s="13">
        <v>7</v>
      </c>
      <c r="H21" s="14" t="s">
        <v>346</v>
      </c>
      <c r="I21" s="14">
        <v>8</v>
      </c>
      <c r="J21" s="15" t="s">
        <v>361</v>
      </c>
      <c r="K21" s="13">
        <v>5</v>
      </c>
      <c r="L21" s="14" t="s">
        <v>346</v>
      </c>
      <c r="M21" s="14">
        <v>13</v>
      </c>
      <c r="N21" s="15" t="s">
        <v>391</v>
      </c>
      <c r="O21" s="13">
        <v>5</v>
      </c>
      <c r="P21" s="14" t="s">
        <v>346</v>
      </c>
      <c r="Q21" s="14">
        <v>13</v>
      </c>
      <c r="R21" s="15" t="s">
        <v>359</v>
      </c>
      <c r="S21" s="13"/>
      <c r="T21" s="14"/>
      <c r="U21" s="14"/>
      <c r="V21" s="15"/>
      <c r="W21" s="28">
        <f t="shared" si="10"/>
        <v>1</v>
      </c>
      <c r="X21" s="29">
        <v>20</v>
      </c>
      <c r="Y21" s="29">
        <v>62</v>
      </c>
      <c r="Z21" s="13">
        <f t="shared" si="11"/>
        <v>30</v>
      </c>
      <c r="AA21" s="14" t="s">
        <v>346</v>
      </c>
      <c r="AB21" s="39">
        <f t="shared" si="12"/>
        <v>41</v>
      </c>
      <c r="AC21" s="40">
        <f t="shared" si="13"/>
        <v>-11</v>
      </c>
      <c r="AD21" s="41">
        <f t="shared" si="14"/>
        <v>184</v>
      </c>
      <c r="AE21" s="42">
        <f>IFERROR(INDEX(V!$R:$R,MATCH(AF21,V!$L:$L,0)),"")</f>
        <v>96</v>
      </c>
      <c r="AF21" s="43" t="str">
        <f t="shared" si="15"/>
        <v>Andrei Grintšak</v>
      </c>
      <c r="AG21" s="42">
        <f>IFERROR(INDEX(V!$R:$R,MATCH(AH21,V!$L:$L,0)),"")</f>
        <v>88</v>
      </c>
      <c r="AH21" s="43" t="str">
        <f t="shared" si="16"/>
        <v>Enn Tokman</v>
      </c>
      <c r="AI21" s="42" t="str">
        <f>IFERROR(INDEX(V!$R:$R,MATCH(AJ21,V!$L:$L,0)),"")</f>
        <v/>
      </c>
      <c r="AJ21" s="43" t="str">
        <f t="shared" si="17"/>
        <v/>
      </c>
      <c r="AK21" s="42" t="str">
        <f>IFERROR(INDEX(V!$R:$R,MATCH(AL21,V!$L:$L,0)),"")</f>
        <v/>
      </c>
      <c r="AL21" s="43" t="str">
        <f t="shared" si="18"/>
        <v/>
      </c>
      <c r="AM21" s="42" t="str">
        <f>IFERROR(INDEX(V!$R:$R,MATCH(AN21,V!$L:$L,0)),"")</f>
        <v/>
      </c>
      <c r="AN21" s="43" t="str">
        <f t="shared" si="19"/>
        <v/>
      </c>
      <c r="AO21" s="42" t="str">
        <f>IFERROR(INDEX(V!$R:$R,MATCH(AP21,V!$L:$L,0)),"")</f>
        <v/>
      </c>
      <c r="AP21" s="43" t="str">
        <f t="shared" si="20"/>
        <v/>
      </c>
    </row>
    <row r="22" spans="1:42">
      <c r="A22" s="11">
        <v>16</v>
      </c>
      <c r="B22" s="18" t="s">
        <v>349</v>
      </c>
      <c r="C22" s="13">
        <v>13</v>
      </c>
      <c r="D22" s="14" t="s">
        <v>346</v>
      </c>
      <c r="E22" s="14">
        <v>8</v>
      </c>
      <c r="F22" s="15" t="s">
        <v>353</v>
      </c>
      <c r="G22" s="13">
        <v>5</v>
      </c>
      <c r="H22" s="14" t="s">
        <v>346</v>
      </c>
      <c r="I22" s="14">
        <v>13</v>
      </c>
      <c r="J22" s="15" t="s">
        <v>393</v>
      </c>
      <c r="K22" s="13">
        <v>8</v>
      </c>
      <c r="L22" s="14" t="s">
        <v>346</v>
      </c>
      <c r="M22" s="14">
        <v>13</v>
      </c>
      <c r="N22" s="15" t="s">
        <v>388</v>
      </c>
      <c r="O22" s="13">
        <v>8</v>
      </c>
      <c r="P22" s="14" t="s">
        <v>346</v>
      </c>
      <c r="Q22" s="14">
        <v>13</v>
      </c>
      <c r="R22" s="15" t="s">
        <v>348</v>
      </c>
      <c r="S22" s="13"/>
      <c r="T22" s="14"/>
      <c r="U22" s="14"/>
      <c r="V22" s="15"/>
      <c r="W22" s="28">
        <f t="shared" si="10"/>
        <v>1</v>
      </c>
      <c r="X22" s="29">
        <v>18</v>
      </c>
      <c r="Y22" s="29">
        <v>50</v>
      </c>
      <c r="Z22" s="13">
        <f t="shared" si="11"/>
        <v>34</v>
      </c>
      <c r="AA22" s="14" t="s">
        <v>346</v>
      </c>
      <c r="AB22" s="39">
        <f t="shared" si="12"/>
        <v>47</v>
      </c>
      <c r="AC22" s="40">
        <f t="shared" si="13"/>
        <v>-13</v>
      </c>
      <c r="AD22" s="41">
        <f t="shared" si="14"/>
        <v>186</v>
      </c>
      <c r="AE22" s="42">
        <f>IFERROR(INDEX(V!$R:$R,MATCH(AF22,V!$L:$L,0)),"")</f>
        <v>104</v>
      </c>
      <c r="AF22" s="43" t="str">
        <f t="shared" si="15"/>
        <v>Andres Veski</v>
      </c>
      <c r="AG22" s="42">
        <f>IFERROR(INDEX(V!$R:$R,MATCH(AH22,V!$L:$L,0)),"")</f>
        <v>82</v>
      </c>
      <c r="AH22" s="43" t="str">
        <f t="shared" si="16"/>
        <v>Svetlana Veski</v>
      </c>
      <c r="AI22" s="42" t="str">
        <f>IFERROR(INDEX(V!$R:$R,MATCH(AJ22,V!$L:$L,0)),"")</f>
        <v/>
      </c>
      <c r="AJ22" s="43" t="str">
        <f t="shared" si="17"/>
        <v/>
      </c>
      <c r="AK22" s="42" t="str">
        <f>IFERROR(INDEX(V!$R:$R,MATCH(AL22,V!$L:$L,0)),"")</f>
        <v/>
      </c>
      <c r="AL22" s="43" t="str">
        <f t="shared" si="18"/>
        <v/>
      </c>
      <c r="AM22" s="42" t="str">
        <f>IFERROR(INDEX(V!$R:$R,MATCH(AN22,V!$L:$L,0)),"")</f>
        <v/>
      </c>
      <c r="AN22" s="43" t="str">
        <f t="shared" si="19"/>
        <v/>
      </c>
      <c r="AO22" s="42" t="str">
        <f>IFERROR(INDEX(V!$R:$R,MATCH(AP22,V!$L:$L,0)),"")</f>
        <v/>
      </c>
      <c r="AP22" s="43" t="str">
        <f t="shared" si="20"/>
        <v/>
      </c>
    </row>
    <row r="23" spans="1:42">
      <c r="A23" s="11">
        <v>17</v>
      </c>
      <c r="B23" s="17" t="s">
        <v>355</v>
      </c>
      <c r="C23" s="13">
        <v>9</v>
      </c>
      <c r="D23" s="14" t="s">
        <v>346</v>
      </c>
      <c r="E23" s="14">
        <v>13</v>
      </c>
      <c r="F23" s="15" t="s">
        <v>361</v>
      </c>
      <c r="G23" s="13">
        <v>9</v>
      </c>
      <c r="H23" s="14" t="s">
        <v>346</v>
      </c>
      <c r="I23" s="14">
        <v>13</v>
      </c>
      <c r="J23" s="15" t="s">
        <v>359</v>
      </c>
      <c r="K23" s="13">
        <v>8</v>
      </c>
      <c r="L23" s="14" t="s">
        <v>346</v>
      </c>
      <c r="M23" s="14">
        <v>13</v>
      </c>
      <c r="N23" s="15" t="s">
        <v>375</v>
      </c>
      <c r="O23" s="13">
        <v>13</v>
      </c>
      <c r="P23" s="14" t="s">
        <v>346</v>
      </c>
      <c r="Q23" s="14">
        <v>8</v>
      </c>
      <c r="R23" s="15" t="s">
        <v>392</v>
      </c>
      <c r="S23" s="13"/>
      <c r="T23" s="14"/>
      <c r="U23" s="14"/>
      <c r="V23" s="15"/>
      <c r="W23" s="28">
        <f t="shared" si="10"/>
        <v>1</v>
      </c>
      <c r="X23" s="29">
        <v>14</v>
      </c>
      <c r="Y23" s="29">
        <v>56</v>
      </c>
      <c r="Z23" s="13">
        <f t="shared" si="11"/>
        <v>39</v>
      </c>
      <c r="AA23" s="14" t="s">
        <v>346</v>
      </c>
      <c r="AB23" s="39">
        <f t="shared" si="12"/>
        <v>47</v>
      </c>
      <c r="AC23" s="40">
        <f t="shared" si="13"/>
        <v>-8</v>
      </c>
      <c r="AD23" s="41">
        <f t="shared" si="14"/>
        <v>132</v>
      </c>
      <c r="AE23" s="42">
        <f>IFERROR(INDEX(V!$R:$R,MATCH(AF23,V!$L:$L,0)),"")</f>
        <v>72</v>
      </c>
      <c r="AF23" s="43" t="str">
        <f t="shared" si="15"/>
        <v>Hillar Neiland</v>
      </c>
      <c r="AG23" s="42">
        <f>IFERROR(INDEX(V!$R:$R,MATCH(AH23,V!$L:$L,0)),"")</f>
        <v>60</v>
      </c>
      <c r="AH23" s="43" t="str">
        <f t="shared" si="16"/>
        <v>Kaspar Mänd</v>
      </c>
      <c r="AI23" s="42" t="str">
        <f>IFERROR(INDEX(V!$R:$R,MATCH(AJ23,V!$L:$L,0)),"")</f>
        <v/>
      </c>
      <c r="AJ23" s="43" t="str">
        <f t="shared" si="17"/>
        <v/>
      </c>
      <c r="AK23" s="42" t="str">
        <f>IFERROR(INDEX(V!$R:$R,MATCH(AL23,V!$L:$L,0)),"")</f>
        <v/>
      </c>
      <c r="AL23" s="43" t="str">
        <f t="shared" si="18"/>
        <v/>
      </c>
      <c r="AM23" s="42" t="str">
        <f>IFERROR(INDEX(V!$R:$R,MATCH(AN23,V!$L:$L,0)),"")</f>
        <v/>
      </c>
      <c r="AN23" s="43" t="str">
        <f t="shared" si="19"/>
        <v/>
      </c>
      <c r="AO23" s="42" t="str">
        <f>IFERROR(INDEX(V!$R:$R,MATCH(AP23,V!$L:$L,0)),"")</f>
        <v/>
      </c>
      <c r="AP23" s="43" t="str">
        <f t="shared" si="20"/>
        <v/>
      </c>
    </row>
    <row r="24" spans="1:42">
      <c r="A24" s="11">
        <v>18</v>
      </c>
      <c r="B24" s="18" t="s">
        <v>353</v>
      </c>
      <c r="C24" s="13">
        <v>8</v>
      </c>
      <c r="D24" s="14" t="s">
        <v>346</v>
      </c>
      <c r="E24" s="14">
        <v>13</v>
      </c>
      <c r="F24" s="15" t="s">
        <v>349</v>
      </c>
      <c r="G24" s="13">
        <v>5</v>
      </c>
      <c r="H24" s="14" t="s">
        <v>346</v>
      </c>
      <c r="I24" s="14">
        <v>13</v>
      </c>
      <c r="J24" s="15" t="s">
        <v>387</v>
      </c>
      <c r="K24" s="13">
        <v>13</v>
      </c>
      <c r="L24" s="14" t="s">
        <v>346</v>
      </c>
      <c r="M24" s="14">
        <v>8</v>
      </c>
      <c r="N24" s="15" t="s">
        <v>392</v>
      </c>
      <c r="O24" s="13">
        <v>8</v>
      </c>
      <c r="P24" s="14" t="s">
        <v>346</v>
      </c>
      <c r="Q24" s="14">
        <v>13</v>
      </c>
      <c r="R24" s="15" t="s">
        <v>394</v>
      </c>
      <c r="S24" s="13"/>
      <c r="T24" s="14"/>
      <c r="U24" s="14"/>
      <c r="V24" s="15"/>
      <c r="W24" s="28">
        <f t="shared" si="10"/>
        <v>1</v>
      </c>
      <c r="X24" s="29">
        <v>12</v>
      </c>
      <c r="Y24" s="29">
        <v>56</v>
      </c>
      <c r="Z24" s="13">
        <f t="shared" si="11"/>
        <v>34</v>
      </c>
      <c r="AA24" s="14" t="s">
        <v>346</v>
      </c>
      <c r="AB24" s="39">
        <f t="shared" si="12"/>
        <v>47</v>
      </c>
      <c r="AC24" s="40">
        <f t="shared" si="13"/>
        <v>-13</v>
      </c>
      <c r="AD24" s="41">
        <f t="shared" si="14"/>
        <v>74</v>
      </c>
      <c r="AE24" s="42">
        <f>IFERROR(INDEX(V!$R:$R,MATCH(AF24,V!$L:$L,0)),"")</f>
        <v>26</v>
      </c>
      <c r="AF24" s="43" t="str">
        <f t="shared" si="15"/>
        <v>Jaan Saar</v>
      </c>
      <c r="AG24" s="42">
        <f>IFERROR(INDEX(V!$R:$R,MATCH(AH24,V!$L:$L,0)),"")</f>
        <v>48</v>
      </c>
      <c r="AH24" s="43" t="str">
        <f t="shared" si="16"/>
        <v>Liidia Põllu</v>
      </c>
      <c r="AI24" s="42" t="str">
        <f>IFERROR(INDEX(V!$R:$R,MATCH(AJ24,V!$L:$L,0)),"")</f>
        <v/>
      </c>
      <c r="AJ24" s="43" t="str">
        <f t="shared" si="17"/>
        <v/>
      </c>
      <c r="AK24" s="42" t="str">
        <f>IFERROR(INDEX(V!$R:$R,MATCH(AL24,V!$L:$L,0)),"")</f>
        <v/>
      </c>
      <c r="AL24" s="43" t="str">
        <f t="shared" si="18"/>
        <v/>
      </c>
      <c r="AM24" s="42" t="str">
        <f>IFERROR(INDEX(V!$R:$R,MATCH(AN24,V!$L:$L,0)),"")</f>
        <v/>
      </c>
      <c r="AN24" s="43" t="str">
        <f t="shared" si="19"/>
        <v/>
      </c>
      <c r="AO24" s="42" t="str">
        <f>IFERROR(INDEX(V!$R:$R,MATCH(AP24,V!$L:$L,0)),"")</f>
        <v/>
      </c>
      <c r="AP24" s="43" t="str">
        <f t="shared" si="20"/>
        <v/>
      </c>
    </row>
    <row r="25" spans="1:42">
      <c r="A25" s="11">
        <v>19</v>
      </c>
      <c r="B25" s="17" t="s">
        <v>347</v>
      </c>
      <c r="C25" s="13">
        <v>3</v>
      </c>
      <c r="D25" s="14" t="s">
        <v>346</v>
      </c>
      <c r="E25" s="14">
        <v>13</v>
      </c>
      <c r="F25" s="15" t="s">
        <v>350</v>
      </c>
      <c r="G25" s="13">
        <v>9</v>
      </c>
      <c r="H25" s="14" t="s">
        <v>346</v>
      </c>
      <c r="I25" s="14">
        <v>12</v>
      </c>
      <c r="J25" s="15" t="s">
        <v>348</v>
      </c>
      <c r="K25" s="13">
        <v>3</v>
      </c>
      <c r="L25" s="14" t="s">
        <v>346</v>
      </c>
      <c r="M25" s="14">
        <v>13</v>
      </c>
      <c r="N25" s="15" t="s">
        <v>387</v>
      </c>
      <c r="O25" s="13">
        <v>9</v>
      </c>
      <c r="P25" s="14" t="s">
        <v>346</v>
      </c>
      <c r="Q25" s="14">
        <v>13</v>
      </c>
      <c r="R25" s="15" t="s">
        <v>375</v>
      </c>
      <c r="S25" s="13"/>
      <c r="T25" s="14"/>
      <c r="U25" s="14"/>
      <c r="V25" s="15"/>
      <c r="W25" s="28">
        <f t="shared" si="10"/>
        <v>0</v>
      </c>
      <c r="X25" s="29">
        <v>20</v>
      </c>
      <c r="Y25" s="29">
        <v>50</v>
      </c>
      <c r="Z25" s="13">
        <f t="shared" si="11"/>
        <v>24</v>
      </c>
      <c r="AA25" s="14" t="s">
        <v>346</v>
      </c>
      <c r="AB25" s="39">
        <f t="shared" si="12"/>
        <v>51</v>
      </c>
      <c r="AC25" s="40">
        <f t="shared" si="13"/>
        <v>-27</v>
      </c>
      <c r="AD25" s="41">
        <f t="shared" si="14"/>
        <v>96</v>
      </c>
      <c r="AE25" s="42">
        <f>IFERROR(INDEX(V!$R:$R,MATCH(AF25,V!$L:$L,0)),"")</f>
        <v>62</v>
      </c>
      <c r="AF25" s="43" t="str">
        <f t="shared" si="15"/>
        <v>Johannes Neiland</v>
      </c>
      <c r="AG25" s="42">
        <f>IFERROR(INDEX(V!$R:$R,MATCH(AH25,V!$L:$L,0)),"")</f>
        <v>34</v>
      </c>
      <c r="AH25" s="43" t="str">
        <f t="shared" si="16"/>
        <v>Urmas Randlaine</v>
      </c>
      <c r="AI25" s="42" t="str">
        <f>IFERROR(INDEX(V!$R:$R,MATCH(AJ25,V!$L:$L,0)),"")</f>
        <v/>
      </c>
      <c r="AJ25" s="43" t="str">
        <f t="shared" si="17"/>
        <v/>
      </c>
      <c r="AK25" s="42" t="str">
        <f>IFERROR(INDEX(V!$R:$R,MATCH(AL25,V!$L:$L,0)),"")</f>
        <v/>
      </c>
      <c r="AL25" s="43" t="str">
        <f t="shared" si="18"/>
        <v/>
      </c>
      <c r="AM25" s="42" t="str">
        <f>IFERROR(INDEX(V!$R:$R,MATCH(AN25,V!$L:$L,0)),"")</f>
        <v/>
      </c>
      <c r="AN25" s="43" t="str">
        <f t="shared" si="19"/>
        <v/>
      </c>
      <c r="AO25" s="42" t="str">
        <f>IFERROR(INDEX(V!$R:$R,MATCH(AP25,V!$L:$L,0)),"")</f>
        <v/>
      </c>
      <c r="AP25" s="43" t="str">
        <f t="shared" si="20"/>
        <v/>
      </c>
    </row>
    <row r="26" ht="24.65" spans="1:42">
      <c r="A26" s="11">
        <v>20</v>
      </c>
      <c r="B26" s="18" t="s">
        <v>392</v>
      </c>
      <c r="C26" s="13">
        <v>5</v>
      </c>
      <c r="D26" s="14" t="s">
        <v>346</v>
      </c>
      <c r="E26" s="14">
        <v>13</v>
      </c>
      <c r="F26" s="15" t="s">
        <v>360</v>
      </c>
      <c r="G26" s="13">
        <v>5</v>
      </c>
      <c r="H26" s="14" t="s">
        <v>346</v>
      </c>
      <c r="I26" s="14">
        <v>13</v>
      </c>
      <c r="J26" s="15" t="s">
        <v>388</v>
      </c>
      <c r="K26" s="13">
        <v>8</v>
      </c>
      <c r="L26" s="14" t="s">
        <v>346</v>
      </c>
      <c r="M26" s="14">
        <v>13</v>
      </c>
      <c r="N26" s="15" t="s">
        <v>353</v>
      </c>
      <c r="O26" s="13">
        <v>8</v>
      </c>
      <c r="P26" s="14" t="s">
        <v>346</v>
      </c>
      <c r="Q26" s="14">
        <v>13</v>
      </c>
      <c r="R26" s="15" t="s">
        <v>355</v>
      </c>
      <c r="S26" s="13"/>
      <c r="T26" s="14"/>
      <c r="U26" s="14"/>
      <c r="V26" s="15"/>
      <c r="W26" s="28">
        <f>IF(C26&gt;E26,W$2,IF(C26&lt;E26,W$4,IF(ISNUMBER(C26),W$3,0)))+IF(G26&gt;I26,W$2,IF(G26&lt;I26,W$4,IF(ISNUMBER(G26),W$3,0)))+IF(K26&gt;M26,W$2,IF(K26&lt;M26,W$4,IF(ISNUMBER(K26),W$3,0)))+IF(O26&gt;Q26,W$2,IF(O26&lt;Q26,W$4,IF(ISNUMBER(O26),W$3,0)))+IF(S26&gt;U26,W$2,IF(S26&lt;U26,W$4,IF(ISNUMBER(S26),W$3,0)))</f>
        <v>0</v>
      </c>
      <c r="X26" s="29">
        <v>14</v>
      </c>
      <c r="Y26" s="29">
        <v>58</v>
      </c>
      <c r="Z26" s="13">
        <f>C26+G26+K26+O26+S26</f>
        <v>26</v>
      </c>
      <c r="AA26" s="14" t="s">
        <v>346</v>
      </c>
      <c r="AB26" s="39">
        <f>E26+I26+M26+Q26+U26</f>
        <v>52</v>
      </c>
      <c r="AC26" s="40">
        <f>Z26-AB26</f>
        <v>-26</v>
      </c>
      <c r="AD26" s="41">
        <f>SUM(AE26:AL26)</f>
        <v>6</v>
      </c>
      <c r="AE26" s="42">
        <f>IFERROR(INDEX(V!$R:$R,MATCH(AF26,V!$L:$L,0)),"")</f>
        <v>2</v>
      </c>
      <c r="AF26" s="43" t="str">
        <f>IFERROR(LEFT($B26,(FIND(",",$B26,1)-1)),"")</f>
        <v>Kristel Mark</v>
      </c>
      <c r="AG26" s="42" t="str">
        <f>IFERROR(INDEX(V!$R:$R,MATCH(AH26,V!$L:$L,0)),"")</f>
        <v/>
      </c>
      <c r="AH26" s="43" t="str">
        <f>IFERROR(MID($B26,FIND(", ",$B26)+2,256),"")</f>
        <v>Kristiin-Marleen Neiland, Merilin Neiland</v>
      </c>
      <c r="AI26" s="42">
        <f>IFERROR(INDEX(V!$R:$R,MATCH(AJ26,V!$L:$L,0)),"")</f>
        <v>2</v>
      </c>
      <c r="AJ26" s="43" t="str">
        <f>IFERROR(MID($B26,FIND("^",SUBSTITUTE($B26,", ","^",1))+2,FIND("^",SUBSTITUTE($B26,", ","^",2))-FIND("^",SUBSTITUTE($B26,", ","^",1))-2),"")</f>
        <v>Kristiin-Marleen Neiland</v>
      </c>
      <c r="AK26" s="42">
        <f>IFERROR(INDEX(V!$R:$R,MATCH(AL26,V!$L:$L,0)),"")</f>
        <v>2</v>
      </c>
      <c r="AL26" s="43" t="str">
        <f>IFERROR(MID($B26,FIND(", ",$B26,FIND(", ",$B26,FIND(", ",$B26))+1)+2,30000),"")</f>
        <v>Merilin Neiland</v>
      </c>
      <c r="AM26" s="42" t="str">
        <f>IFERROR(INDEX(V!$R:$R,MATCH(AN26,V!$L:$L,0)),"")</f>
        <v/>
      </c>
      <c r="AN26" s="43" t="str">
        <f>IFERROR(MID($B26,FIND(", ",$B26,FIND(", ",$B26)+1)+2,FIND(", ",$B26,FIND(", ",$B26,FIND(", ",$B26)+1)+1)-FIND(", ",$B26,FIND(", ",$B26)+1)-2),"")</f>
        <v/>
      </c>
      <c r="AO26" s="42" t="str">
        <f>IFERROR(INDEX(V!$R:$R,MATCH(AP26,V!$L:$L,0)),"")</f>
        <v/>
      </c>
      <c r="AP26" s="43" t="str">
        <f>IFERROR(MID($B26,FIND(", ",$B26,FIND(", ",$B26,FIND(", ",$B26)+1)+1)+2,30000),"")</f>
        <v/>
      </c>
    </row>
    <row r="28" ht="13" customHeight="1"/>
    <row r="29" ht="13" hidden="1" customHeight="1"/>
    <row r="30" ht="13" hidden="1" customHeight="1"/>
    <row r="31" ht="13" hidden="1" customHeight="1"/>
    <row r="32" ht="13" hidden="1" customHeight="1"/>
    <row r="33" ht="13" hidden="1" customHeight="1"/>
    <row r="34" ht="13" hidden="1" customHeight="1"/>
    <row r="35" ht="13" hidden="1" customHeight="1"/>
    <row r="36" ht="13" hidden="1" customHeight="1"/>
    <row r="37" ht="13" hidden="1" customHeight="1"/>
    <row r="38" ht="13" hidden="1" customHeight="1"/>
    <row r="39" ht="13" hidden="1" customHeight="1"/>
    <row r="40" ht="13" hidden="1" customHeight="1"/>
    <row r="41" ht="13" hidden="1" customHeight="1"/>
    <row r="42" ht="13" hidden="1" customHeight="1"/>
    <row r="43" ht="13" hidden="1" customHeight="1"/>
    <row r="44" ht="13" hidden="1" customHeight="1"/>
    <row r="45" ht="13" hidden="1" customHeight="1"/>
    <row r="46" ht="13" hidden="1" customHeight="1"/>
    <row r="47" ht="13" hidden="1" customHeight="1"/>
    <row r="48" ht="13" hidden="1" customHeight="1"/>
    <row r="49" ht="13" hidden="1" customHeight="1"/>
    <row r="50" ht="13" hidden="1" customHeight="1"/>
    <row r="51" ht="13" hidden="1" customHeight="1"/>
    <row r="52" ht="13" hidden="1" customHeight="1"/>
    <row r="53" ht="13" hidden="1" customHeight="1"/>
    <row r="54" ht="13" hidden="1" customHeight="1"/>
    <row r="55" ht="13" hidden="1" customHeight="1"/>
    <row r="56" ht="13" hidden="1" customHeight="1"/>
    <row r="57" ht="13" hidden="1" customHeight="1"/>
    <row r="58" ht="13" hidden="1" customHeight="1"/>
    <row r="59" ht="13" hidden="1" customHeight="1"/>
    <row r="60" ht="13" hidden="1" customHeight="1"/>
    <row r="61" ht="13" hidden="1" customHeight="1"/>
    <row r="62" ht="13" hidden="1" customHeight="1"/>
    <row r="63" ht="13" hidden="1" customHeight="1"/>
    <row r="64" ht="13" hidden="1" customHeight="1"/>
    <row r="65" ht="13" hidden="1" customHeight="1"/>
    <row r="66" ht="13" hidden="1" customHeight="1"/>
    <row r="67" ht="13" hidden="1" customHeight="1"/>
    <row r="68" ht="13" hidden="1" customHeight="1"/>
    <row r="69" ht="13" hidden="1" customHeight="1"/>
    <row r="70" ht="13" hidden="1" customHeight="1"/>
    <row r="71" ht="13" hidden="1" customHeight="1"/>
    <row r="72" ht="13" hidden="1" customHeight="1"/>
    <row r="73" ht="13" hidden="1" customHeight="1"/>
    <row r="74" ht="13" hidden="1" customHeight="1"/>
    <row r="75" ht="13" hidden="1" customHeight="1"/>
    <row r="76" ht="13" hidden="1" customHeight="1"/>
    <row r="77" ht="13" hidden="1" customHeight="1"/>
    <row r="78" ht="13" hidden="1" customHeight="1"/>
    <row r="79" ht="13" hidden="1" customHeight="1"/>
    <row r="80" ht="13" hidden="1" customHeight="1"/>
    <row r="81" ht="13" hidden="1" customHeight="1"/>
    <row r="82" ht="13" hidden="1" customHeight="1"/>
    <row r="83" ht="13" hidden="1" customHeight="1"/>
    <row r="84" ht="13" hidden="1" customHeight="1"/>
    <row r="85" ht="13" hidden="1" customHeight="1"/>
    <row r="86" ht="13" hidden="1" customHeight="1"/>
    <row r="87" ht="13" hidden="1" customHeight="1"/>
    <row r="88" ht="13" hidden="1" customHeight="1"/>
    <row r="89" ht="13" hidden="1" customHeight="1"/>
    <row r="90" ht="13" hidden="1" customHeight="1"/>
    <row r="91" ht="13" hidden="1" customHeight="1"/>
    <row r="92" ht="13" hidden="1" customHeight="1"/>
    <row r="93" ht="13" hidden="1" customHeight="1"/>
    <row r="94" ht="13" hidden="1" customHeight="1"/>
    <row r="95" ht="13" hidden="1" customHeight="1"/>
    <row r="96" ht="13" hidden="1" customHeight="1"/>
    <row r="97" ht="13" hidden="1" customHeight="1"/>
    <row r="98" ht="13" hidden="1" customHeight="1"/>
    <row r="99" ht="13" hidden="1" customHeight="1"/>
    <row r="100" ht="13" hidden="1" customHeight="1"/>
    <row r="101" ht="13" hidden="1" customHeight="1"/>
    <row r="102" ht="13" hidden="1" customHeight="1"/>
    <row r="103" ht="13" hidden="1" customHeight="1"/>
    <row r="104" ht="13" hidden="1" customHeight="1"/>
    <row r="105" ht="13" hidden="1" customHeight="1"/>
    <row r="106" ht="13" hidden="1" customHeight="1"/>
    <row r="107" ht="13" hidden="1" customHeight="1"/>
    <row r="108" ht="13" hidden="1" customHeight="1"/>
    <row r="109" ht="13" hidden="1" customHeight="1"/>
    <row r="110" ht="13" hidden="1" customHeight="1"/>
    <row r="111" ht="13" hidden="1" customHeight="1"/>
    <row r="112" ht="13" hidden="1" customHeight="1"/>
    <row r="113" ht="13" hidden="1" customHeight="1"/>
    <row r="114" ht="13" hidden="1" customHeight="1"/>
    <row r="115" ht="13" hidden="1" customHeight="1"/>
    <row r="116" ht="13" hidden="1" customHeight="1"/>
    <row r="117" ht="13" hidden="1" customHeight="1"/>
    <row r="118" ht="13" hidden="1" customHeight="1"/>
    <row r="119" ht="13" hidden="1" customHeight="1"/>
    <row r="120" ht="13" hidden="1" customHeight="1"/>
    <row r="121" ht="13" hidden="1" customHeight="1"/>
    <row r="122" ht="13" hidden="1" customHeight="1"/>
    <row r="123" ht="13" hidden="1" customHeight="1"/>
    <row r="124" ht="13" hidden="1" customHeight="1"/>
    <row r="125" ht="13" hidden="1" customHeight="1"/>
    <row r="126" ht="13" hidden="1" customHeight="1"/>
    <row r="127" ht="13" hidden="1" customHeight="1"/>
    <row r="128" ht="13" hidden="1" customHeight="1"/>
    <row r="129" ht="13" hidden="1" customHeight="1"/>
    <row r="130" ht="13" hidden="1" customHeight="1"/>
    <row r="131" ht="13" hidden="1" customHeight="1"/>
    <row r="132" ht="13" hidden="1" customHeight="1"/>
    <row r="133" ht="13" hidden="1" customHeight="1"/>
    <row r="134" ht="13" hidden="1" customHeight="1"/>
    <row r="135" ht="13" hidden="1" customHeight="1"/>
    <row r="136" ht="13" hidden="1" customHeight="1"/>
    <row r="137" ht="13" hidden="1" customHeight="1"/>
    <row r="138" ht="13" hidden="1" customHeight="1"/>
    <row r="139" ht="13" hidden="1" customHeight="1"/>
    <row r="140" ht="13" hidden="1" customHeight="1"/>
    <row r="141" ht="13" hidden="1" customHeight="1"/>
    <row r="142" ht="13" hidden="1" customHeight="1"/>
    <row r="143" ht="13" hidden="1" customHeight="1"/>
    <row r="144" ht="13" hidden="1" customHeight="1"/>
    <row r="145" ht="13" hidden="1" customHeight="1"/>
    <row r="146" ht="13" hidden="1" customHeight="1"/>
    <row r="147" ht="13" hidden="1" customHeight="1"/>
    <row r="148" ht="13" hidden="1" customHeight="1"/>
    <row r="149" ht="13" hidden="1" customHeight="1"/>
    <row r="150" ht="13" hidden="1" customHeight="1"/>
    <row r="151" ht="13" hidden="1" customHeight="1"/>
    <row r="152" ht="13" hidden="1" customHeight="1"/>
    <row r="153" ht="13" hidden="1" customHeight="1"/>
    <row r="154" ht="13" hidden="1" customHeight="1"/>
    <row r="155" ht="13" hidden="1" customHeight="1"/>
    <row r="156" ht="13" hidden="1" customHeight="1"/>
    <row r="157" ht="13" hidden="1" customHeight="1"/>
    <row r="158" ht="13" hidden="1" customHeight="1"/>
    <row r="159" ht="13" hidden="1" customHeight="1"/>
    <row r="160" ht="13" hidden="1" customHeight="1"/>
    <row r="161" ht="13" hidden="1" customHeight="1"/>
    <row r="162" ht="13" hidden="1" customHeight="1"/>
    <row r="163" ht="13" hidden="1" customHeight="1"/>
    <row r="164" ht="13" hidden="1" customHeight="1"/>
    <row r="165" ht="13" hidden="1" customHeight="1"/>
    <row r="166" ht="13" hidden="1" customHeight="1"/>
    <row r="167" ht="13" hidden="1" customHeight="1"/>
    <row r="168" ht="13" hidden="1" customHeight="1"/>
    <row r="169" ht="13" hidden="1" customHeight="1"/>
    <row r="170" ht="13" hidden="1" customHeight="1"/>
    <row r="171" ht="13" hidden="1" customHeight="1"/>
    <row r="172" ht="13" hidden="1" customHeight="1"/>
    <row r="173" ht="13" hidden="1" customHeight="1"/>
    <row r="174" ht="13" hidden="1" customHeight="1"/>
    <row r="175" ht="13" hidden="1" customHeight="1"/>
    <row r="176" ht="13" hidden="1" customHeight="1"/>
    <row r="177" ht="13" hidden="1" customHeight="1"/>
    <row r="178" ht="13" hidden="1" customHeight="1"/>
    <row r="179" ht="13" hidden="1" customHeight="1"/>
    <row r="180" ht="13" hidden="1" customHeight="1"/>
    <row r="181" ht="13" hidden="1" customHeight="1"/>
    <row r="182" ht="13" hidden="1" customHeight="1"/>
    <row r="183" ht="13" hidden="1" customHeight="1"/>
    <row r="184" ht="13" hidden="1" customHeight="1"/>
    <row r="185" ht="13" hidden="1" customHeight="1"/>
    <row r="186" ht="13" hidden="1" customHeight="1"/>
    <row r="187" ht="13" hidden="1" customHeight="1"/>
    <row r="188" ht="13" hidden="1" customHeight="1"/>
    <row r="189" ht="13" hidden="1" customHeight="1"/>
    <row r="190" ht="13" hidden="1" customHeight="1"/>
    <row r="191" ht="13" hidden="1" customHeight="1"/>
    <row r="192" ht="13" hidden="1" customHeight="1"/>
    <row r="193" ht="13" hidden="1" customHeight="1"/>
    <row r="194" ht="13" hidden="1" customHeight="1"/>
    <row r="195" ht="13" hidden="1" customHeight="1"/>
    <row r="196" ht="13" hidden="1" customHeight="1"/>
    <row r="197" ht="13" hidden="1" customHeight="1"/>
    <row r="198" ht="13" hidden="1" customHeight="1"/>
    <row r="199" ht="13" hidden="1" customHeight="1"/>
    <row r="200" ht="13" hidden="1" customHeight="1"/>
    <row r="201" ht="13" hidden="1" customHeight="1"/>
    <row r="202" ht="13" hidden="1" customHeight="1"/>
    <row r="203" ht="13" hidden="1" customHeight="1"/>
    <row r="204" ht="13" hidden="1" customHeight="1"/>
    <row r="205" ht="13" hidden="1" customHeight="1"/>
    <row r="206" ht="13" hidden="1" customHeight="1"/>
    <row r="207" ht="13" hidden="1" customHeight="1"/>
    <row r="208" ht="13" hidden="1" customHeight="1"/>
    <row r="209" ht="13" hidden="1" customHeight="1"/>
    <row r="210" ht="13" hidden="1" customHeight="1"/>
    <row r="211" ht="13" hidden="1" customHeight="1"/>
    <row r="212" ht="13" hidden="1" customHeight="1"/>
    <row r="213" ht="13" hidden="1" customHeight="1"/>
    <row r="214" ht="13" hidden="1" customHeight="1"/>
    <row r="215" ht="13" hidden="1" customHeight="1"/>
    <row r="216" ht="13" hidden="1" customHeight="1"/>
    <row r="217" ht="13" hidden="1" customHeight="1"/>
    <row r="218" ht="13" hidden="1" customHeight="1"/>
    <row r="219" ht="13" hidden="1" customHeight="1"/>
    <row r="220" ht="13" hidden="1" customHeight="1"/>
    <row r="221" ht="13" hidden="1" customHeight="1"/>
    <row r="222" ht="13" hidden="1" customHeight="1"/>
    <row r="223" ht="13" hidden="1" customHeight="1"/>
    <row r="224" ht="13" hidden="1" customHeight="1"/>
    <row r="225" ht="13" hidden="1" customHeight="1"/>
    <row r="226" ht="13" hidden="1" customHeight="1"/>
    <row r="227" ht="13" hidden="1" customHeight="1"/>
    <row r="228" ht="13" hidden="1" customHeight="1"/>
    <row r="229" ht="13" hidden="1" customHeight="1"/>
    <row r="230" ht="13" hidden="1" customHeight="1"/>
    <row r="231" ht="13" hidden="1" customHeight="1"/>
    <row r="232" ht="13" hidden="1" customHeight="1"/>
    <row r="233" ht="13" hidden="1" customHeight="1"/>
    <row r="234" ht="13" hidden="1" customHeight="1"/>
    <row r="235" ht="13" hidden="1" customHeight="1"/>
    <row r="236" ht="13" hidden="1" customHeight="1"/>
    <row r="237" ht="13" hidden="1" customHeight="1"/>
    <row r="238" ht="13" hidden="1" customHeight="1"/>
    <row r="239" ht="13" hidden="1" customHeight="1"/>
    <row r="240" ht="13" hidden="1" customHeight="1"/>
    <row r="241" ht="13" hidden="1" customHeight="1"/>
    <row r="242" ht="13" hidden="1" customHeight="1"/>
    <row r="243" ht="13" hidden="1" customHeight="1"/>
    <row r="244" ht="13" hidden="1" customHeight="1"/>
    <row r="245" ht="13" hidden="1" customHeight="1"/>
    <row r="246" ht="13" hidden="1" customHeight="1"/>
    <row r="247" ht="13" hidden="1" customHeight="1"/>
    <row r="248" ht="13" hidden="1" customHeight="1"/>
    <row r="249" ht="13" hidden="1" customHeight="1"/>
    <row r="250" ht="13" hidden="1" customHeight="1"/>
    <row r="251" ht="13" hidden="1" customHeight="1"/>
    <row r="252" ht="13" hidden="1" customHeight="1"/>
    <row r="253" ht="13" hidden="1" customHeight="1"/>
    <row r="254" ht="13" hidden="1" customHeight="1"/>
    <row r="255" ht="13" hidden="1" customHeight="1"/>
    <row r="256" ht="13" hidden="1" customHeight="1"/>
    <row r="257" ht="13" hidden="1" customHeight="1"/>
    <row r="258" ht="13" hidden="1" customHeight="1"/>
    <row r="259" ht="13" hidden="1" customHeight="1"/>
    <row r="260" ht="13" hidden="1" customHeight="1"/>
    <row r="261" ht="13" hidden="1" customHeight="1"/>
    <row r="262" ht="13" hidden="1" customHeight="1"/>
    <row r="263" ht="13" hidden="1" customHeight="1"/>
    <row r="264" ht="13" hidden="1" customHeight="1"/>
    <row r="265" ht="13" hidden="1" customHeight="1"/>
    <row r="266" ht="13" hidden="1" customHeight="1"/>
    <row r="267" ht="13" hidden="1" customHeight="1"/>
    <row r="268" ht="13" hidden="1" customHeight="1"/>
    <row r="269" ht="13" hidden="1" customHeight="1"/>
    <row r="270" ht="13" hidden="1" customHeight="1"/>
    <row r="271" ht="13" hidden="1" customHeight="1"/>
    <row r="272" ht="13" hidden="1" customHeight="1"/>
    <row r="273" ht="13" hidden="1" customHeight="1"/>
    <row r="274" ht="13" hidden="1" customHeight="1"/>
    <row r="275" ht="13" hidden="1" customHeight="1"/>
    <row r="276" ht="13" hidden="1" customHeight="1"/>
    <row r="277" ht="13" hidden="1" customHeight="1"/>
    <row r="278" ht="13" hidden="1" customHeight="1"/>
    <row r="279" ht="13" hidden="1" customHeight="1"/>
    <row r="280" ht="13" hidden="1" customHeight="1"/>
    <row r="281" ht="13" hidden="1" customHeight="1"/>
    <row r="282" ht="13" hidden="1" customHeight="1"/>
    <row r="283" ht="13" hidden="1" customHeight="1"/>
    <row r="284" ht="13" hidden="1" customHeight="1"/>
    <row r="285" ht="13" hidden="1" customHeight="1"/>
    <row r="286" ht="13" hidden="1" customHeight="1"/>
    <row r="287" ht="13" hidden="1" customHeight="1"/>
    <row r="288" ht="13" hidden="1" customHeight="1"/>
    <row r="289" ht="13" hidden="1" customHeight="1"/>
    <row r="290" ht="13" hidden="1" customHeight="1"/>
    <row r="291" ht="13" hidden="1" customHeight="1"/>
    <row r="292" ht="13" hidden="1" customHeight="1"/>
    <row r="293" ht="13" hidden="1" customHeight="1"/>
    <row r="294" ht="13" hidden="1" customHeight="1"/>
    <row r="295" ht="13" hidden="1" customHeight="1"/>
    <row r="296" ht="13" hidden="1" customHeight="1"/>
    <row r="297" ht="13" hidden="1" customHeight="1"/>
    <row r="298" hidden="1"/>
    <row r="299" spans="1:6">
      <c r="A299" s="6"/>
      <c r="B299" s="6"/>
      <c r="C299" s="49" t="s">
        <v>368</v>
      </c>
      <c r="F299" s="50"/>
    </row>
    <row r="300" spans="1:6">
      <c r="A300" s="51">
        <v>1</v>
      </c>
      <c r="B300" s="52" t="str">
        <f>IFERROR(INDEX(B$1:B$95,MATCH(A300,A$1:A$95,0)),"")</f>
        <v>Henri Mitt, Tõnis Neiland</v>
      </c>
      <c r="C300" s="53">
        <f t="shared" ref="C300:C308" si="21">LARGE(A300:A400,1)*2+2-A300*2</f>
        <v>40</v>
      </c>
      <c r="F300" s="50"/>
    </row>
    <row r="301" spans="1:6">
      <c r="A301" s="51">
        <v>2</v>
      </c>
      <c r="B301" s="52" t="str">
        <f>IFERROR(INDEX(B$1:B$95,MATCH(A301,A$1:A$95,0)),"")</f>
        <v>Aigi Orro, Kalle Orro</v>
      </c>
      <c r="C301" s="53">
        <f t="shared" si="21"/>
        <v>38</v>
      </c>
      <c r="F301" s="50"/>
    </row>
    <row r="302" spans="1:6">
      <c r="A302" s="51">
        <v>3</v>
      </c>
      <c r="B302" s="52" t="str">
        <f>IFERROR(INDEX(B$1:B$95,MATCH(A302,A$1:A$95,0)),"")</f>
        <v>Jaan Sepp, Matti Vinni</v>
      </c>
      <c r="C302" s="53">
        <f t="shared" si="21"/>
        <v>36</v>
      </c>
      <c r="F302" s="50"/>
    </row>
    <row r="303" spans="1:6">
      <c r="A303" s="51">
        <v>4</v>
      </c>
      <c r="B303" s="52" t="str">
        <f>IFERROR(INDEX(B$1:B$95,MATCH(A303,A$1:A$95,0)),"")</f>
        <v>Sander Aul, Väino Aul</v>
      </c>
      <c r="C303" s="53">
        <f t="shared" si="21"/>
        <v>34</v>
      </c>
      <c r="F303" s="50"/>
    </row>
    <row r="304" spans="1:6">
      <c r="A304" s="51">
        <v>5</v>
      </c>
      <c r="B304" s="52" t="str">
        <f>IFERROR(INDEX(B$1:B$95,MATCH(A304,A$1:A$95,0)),"")</f>
        <v>Elmo Lageda, Kenneth Muusikus</v>
      </c>
      <c r="C304" s="53">
        <f t="shared" si="21"/>
        <v>32</v>
      </c>
      <c r="F304" s="50"/>
    </row>
    <row r="305" spans="1:6">
      <c r="A305" s="51">
        <v>6</v>
      </c>
      <c r="B305" s="52" t="str">
        <f>IFERROR(INDEX(B$1:B$95,MATCH(A305,A$1:A$95,0)),"")</f>
        <v>Kristel Tihhonjuk, Vadim Tihhonjuk</v>
      </c>
      <c r="C305" s="53">
        <f t="shared" si="21"/>
        <v>30</v>
      </c>
      <c r="F305" s="50"/>
    </row>
    <row r="306" spans="1:6">
      <c r="A306" s="51">
        <v>7</v>
      </c>
      <c r="B306" s="52" t="str">
        <f>IFERROR(INDEX(B$1:B$95,MATCH(A306,A$1:A$95,0)),"")</f>
        <v>Oleg Rõndenkov, Urmas Jõeäär</v>
      </c>
      <c r="C306" s="53">
        <f t="shared" si="21"/>
        <v>28</v>
      </c>
      <c r="F306" s="50"/>
    </row>
    <row r="307" spans="1:6">
      <c r="A307" s="51">
        <v>8</v>
      </c>
      <c r="B307" s="52" t="str">
        <f t="shared" ref="B307:B319" si="22">IFERROR(INDEX(B$1:B$95,MATCH(A307,A$1:A$95,0)),"")</f>
        <v>Janek Tarto, Melika Lehtla</v>
      </c>
      <c r="C307" s="53">
        <f t="shared" ref="C307:C319" si="23">LARGE(A307:A407,1)*2+2-A307*2</f>
        <v>26</v>
      </c>
      <c r="F307" s="50"/>
    </row>
    <row r="308" spans="1:6">
      <c r="A308" s="51">
        <v>9</v>
      </c>
      <c r="B308" s="52" t="str">
        <f t="shared" si="22"/>
        <v>Ljudmila Varendi, Viktor Švarõgin</v>
      </c>
      <c r="C308" s="53">
        <f t="shared" si="23"/>
        <v>24</v>
      </c>
      <c r="F308" s="50"/>
    </row>
    <row r="309" spans="1:3">
      <c r="A309" s="51">
        <v>10</v>
      </c>
      <c r="B309" s="52" t="str">
        <f t="shared" si="22"/>
        <v>Meelis Luud, Sander Rose</v>
      </c>
      <c r="C309" s="53">
        <f t="shared" si="23"/>
        <v>22</v>
      </c>
    </row>
    <row r="310" spans="1:3">
      <c r="A310" s="51">
        <v>11</v>
      </c>
      <c r="B310" s="52" t="str">
        <f t="shared" si="22"/>
        <v>Heili Vasser, Vello Vasser</v>
      </c>
      <c r="C310" s="53">
        <f t="shared" si="23"/>
        <v>20</v>
      </c>
    </row>
    <row r="311" spans="1:3">
      <c r="A311" s="51">
        <v>12</v>
      </c>
      <c r="B311" s="52" t="str">
        <f t="shared" si="22"/>
        <v>Ivar Viljaste, Kristo Viljaste</v>
      </c>
      <c r="C311" s="53">
        <f t="shared" si="23"/>
        <v>18</v>
      </c>
    </row>
    <row r="312" spans="1:3">
      <c r="A312" s="51">
        <v>13</v>
      </c>
      <c r="B312" s="52" t="str">
        <f t="shared" si="22"/>
        <v>Marko Rooden, Martin Kuusmann</v>
      </c>
      <c r="C312" s="53">
        <f t="shared" si="23"/>
        <v>16</v>
      </c>
    </row>
    <row r="313" spans="1:3">
      <c r="A313" s="51">
        <v>14</v>
      </c>
      <c r="B313" s="52" t="str">
        <f t="shared" si="22"/>
        <v>Olav Türk, Sirje Maala</v>
      </c>
      <c r="C313" s="53">
        <f t="shared" si="23"/>
        <v>14</v>
      </c>
    </row>
    <row r="314" spans="1:3">
      <c r="A314" s="51">
        <v>15</v>
      </c>
      <c r="B314" s="52" t="str">
        <f t="shared" si="22"/>
        <v>Andrei Grintšak, Enn Tokman</v>
      </c>
      <c r="C314" s="53">
        <f t="shared" si="23"/>
        <v>12</v>
      </c>
    </row>
    <row r="315" spans="1:3">
      <c r="A315" s="51">
        <v>16</v>
      </c>
      <c r="B315" s="52" t="str">
        <f t="shared" si="22"/>
        <v>Andres Veski, Svetlana Veski</v>
      </c>
      <c r="C315" s="53">
        <f t="shared" si="23"/>
        <v>10</v>
      </c>
    </row>
    <row r="316" spans="1:3">
      <c r="A316" s="51">
        <v>17</v>
      </c>
      <c r="B316" s="52" t="str">
        <f t="shared" si="22"/>
        <v>Hillar Neiland, Kaspar Mänd</v>
      </c>
      <c r="C316" s="53">
        <f t="shared" si="23"/>
        <v>8</v>
      </c>
    </row>
    <row r="317" spans="1:3">
      <c r="A317" s="51">
        <v>18</v>
      </c>
      <c r="B317" s="52" t="str">
        <f t="shared" si="22"/>
        <v>Jaan Saar, Liidia Põllu</v>
      </c>
      <c r="C317" s="53">
        <f t="shared" si="23"/>
        <v>6</v>
      </c>
    </row>
    <row r="318" spans="1:3">
      <c r="A318" s="51">
        <v>19</v>
      </c>
      <c r="B318" s="52" t="str">
        <f t="shared" si="22"/>
        <v>Johannes Neiland, Urmas Randlaine</v>
      </c>
      <c r="C318" s="53">
        <f t="shared" si="23"/>
        <v>4</v>
      </c>
    </row>
    <row r="319" ht="24.65" spans="1:3">
      <c r="A319" s="51">
        <v>20</v>
      </c>
      <c r="B319" s="52" t="str">
        <f t="shared" si="22"/>
        <v>Kristel Mark, Kristiin-Marleen Neiland, Merilin Neiland</v>
      </c>
      <c r="C319" s="53">
        <f t="shared" si="23"/>
        <v>2</v>
      </c>
    </row>
  </sheetData>
  <conditionalFormatting sqref="A7:A26">
    <cfRule type="duplicateValues" dxfId="17" priority="33"/>
  </conditionalFormatting>
  <conditionalFormatting sqref="B300:B319">
    <cfRule type="duplicateValues" dxfId="8" priority="43"/>
    <cfRule type="containsBlanks" dxfId="19" priority="42">
      <formula>LEN(TRIM(B300))=0</formula>
    </cfRule>
    <cfRule type="expression" dxfId="18" priority="41">
      <formula>A300=1</formula>
    </cfRule>
    <cfRule type="expression" dxfId="4" priority="40">
      <formula>A300=2</formula>
    </cfRule>
    <cfRule type="expression" dxfId="3" priority="39">
      <formula>A300=3</formula>
    </cfRule>
  </conditionalFormatting>
  <conditionalFormatting sqref="C7:C26">
    <cfRule type="expression" dxfId="20" priority="15">
      <formula>IF($C7&gt;$E7,TRUE)</formula>
    </cfRule>
  </conditionalFormatting>
  <conditionalFormatting sqref="E7:E26">
    <cfRule type="expression" dxfId="20" priority="16">
      <formula>IF($C7&lt;$E7,TRUE)</formula>
    </cfRule>
  </conditionalFormatting>
  <conditionalFormatting sqref="F7:F26">
    <cfRule type="containsText" dxfId="21" priority="6" operator="between" text="vaba voor">
      <formula>NOT(ISERROR(SEARCH("vaba voor",F7)))</formula>
    </cfRule>
  </conditionalFormatting>
  <conditionalFormatting sqref="G7:G26">
    <cfRule type="expression" dxfId="20" priority="19">
      <formula>IF($G7&gt;$I7,TRUE)</formula>
    </cfRule>
  </conditionalFormatting>
  <conditionalFormatting sqref="I7:I26">
    <cfRule type="expression" dxfId="20" priority="20">
      <formula>IF($G7&lt;$I7,TRUE)</formula>
    </cfRule>
  </conditionalFormatting>
  <conditionalFormatting sqref="J7:J26">
    <cfRule type="containsText" dxfId="21" priority="5" operator="between" text="vaba voor">
      <formula>NOT(ISERROR(SEARCH("vaba voor",J7)))</formula>
    </cfRule>
  </conditionalFormatting>
  <conditionalFormatting sqref="K7:K26">
    <cfRule type="expression" dxfId="20" priority="23">
      <formula>IF($K7&gt;$M7,TRUE)</formula>
    </cfRule>
  </conditionalFormatting>
  <conditionalFormatting sqref="M7:M26">
    <cfRule type="expression" dxfId="20" priority="24">
      <formula>IF($K7&lt;$M7,TRUE)</formula>
    </cfRule>
  </conditionalFormatting>
  <conditionalFormatting sqref="N7:N26">
    <cfRule type="containsText" dxfId="21" priority="4" operator="between" text="vaba voor">
      <formula>NOT(ISERROR(SEARCH("vaba voor",N7)))</formula>
    </cfRule>
  </conditionalFormatting>
  <conditionalFormatting sqref="O7:O26">
    <cfRule type="expression" dxfId="20" priority="27">
      <formula>IF($O7&gt;$Q7,TRUE)</formula>
    </cfRule>
  </conditionalFormatting>
  <conditionalFormatting sqref="Q7:Q26">
    <cfRule type="expression" dxfId="20" priority="28">
      <formula>IF($O7&lt;$Q7,TRUE)</formula>
    </cfRule>
  </conditionalFormatting>
  <conditionalFormatting sqref="R7:R26">
    <cfRule type="containsText" dxfId="21" priority="7" operator="between" text="vaba voor">
      <formula>NOT(ISERROR(SEARCH("vaba voor",R7)))</formula>
    </cfRule>
  </conditionalFormatting>
  <conditionalFormatting sqref="S7:S26">
    <cfRule type="expression" dxfId="20" priority="31">
      <formula>IF($S7&gt;$U7,TRUE)</formula>
    </cfRule>
  </conditionalFormatting>
  <conditionalFormatting sqref="U7:U26">
    <cfRule type="expression" dxfId="20" priority="32">
      <formula>IF($S7&lt;$U7,TRUE)</formula>
    </cfRule>
  </conditionalFormatting>
  <conditionalFormatting sqref="V7:V26">
    <cfRule type="containsText" dxfId="21" priority="3" operator="between" text="vaba voor">
      <formula>NOT(ISERROR(SEARCH("vaba voor",V7)))</formula>
    </cfRule>
  </conditionalFormatting>
  <conditionalFormatting sqref="AF7:AF26">
    <cfRule type="expression" dxfId="22" priority="37">
      <formula>AND(AE7="",COUNTIF(AF7,"*,*")=0)</formula>
    </cfRule>
  </conditionalFormatting>
  <conditionalFormatting sqref="C7:F26">
    <cfRule type="expression" dxfId="23" priority="14">
      <formula>IF($C7&lt;$E7,TRUE)</formula>
    </cfRule>
    <cfRule type="expression" dxfId="7" priority="13">
      <formula>IF($C7&gt;$E7,TRUE)</formula>
    </cfRule>
    <cfRule type="expression" dxfId="5" priority="11">
      <formula>IF(AND(ISNUMBER($C7),$C7=$E7),TRUE)</formula>
    </cfRule>
  </conditionalFormatting>
  <conditionalFormatting sqref="C7:C26;G7:G26;K7:K26;O7:O26;S7:S26">
    <cfRule type="expression" dxfId="24" priority="1">
      <formula>AND(C7=0,E7=13)</formula>
    </cfRule>
  </conditionalFormatting>
  <conditionalFormatting sqref="E7:E26;I7:I26;M7:M26;Q7:Q26;U7:U26">
    <cfRule type="expression" dxfId="24" priority="2">
      <formula>AND(E7=0,C7=13)</formula>
    </cfRule>
  </conditionalFormatting>
  <conditionalFormatting sqref="G7:J26">
    <cfRule type="expression" dxfId="23" priority="18">
      <formula>IF($G7&lt;$I7,TRUE)</formula>
    </cfRule>
    <cfRule type="expression" dxfId="7" priority="17">
      <formula>IF($G7&gt;$I7,TRUE)</formula>
    </cfRule>
    <cfRule type="expression" dxfId="5" priority="12">
      <formula>IF(AND(ISNUMBER($G7),$G7=$I7),TRUE)</formula>
    </cfRule>
  </conditionalFormatting>
  <conditionalFormatting sqref="K7:N26">
    <cfRule type="expression" dxfId="23" priority="22">
      <formula>IF($K7&lt;$M7,TRUE)</formula>
    </cfRule>
    <cfRule type="expression" dxfId="7" priority="21">
      <formula>IF($K7&gt;$M7,TRUE)</formula>
    </cfRule>
    <cfRule type="expression" dxfId="5" priority="10">
      <formula>IF(AND(ISNUMBER($K7),$K7=$M7),TRUE)</formula>
    </cfRule>
  </conditionalFormatting>
  <conditionalFormatting sqref="O7:R26">
    <cfRule type="expression" dxfId="23" priority="26">
      <formula>IF($O7&lt;$Q7,TRUE)</formula>
    </cfRule>
    <cfRule type="expression" dxfId="7" priority="25">
      <formula>IF($O7&gt;$Q7,TRUE)</formula>
    </cfRule>
    <cfRule type="expression" dxfId="5" priority="9">
      <formula>IF(AND(ISNUMBER($O7),$O7=$Q7),TRUE)</formula>
    </cfRule>
  </conditionalFormatting>
  <conditionalFormatting sqref="S7:V26">
    <cfRule type="expression" dxfId="23" priority="30">
      <formula>IF($S7&lt;$U7,TRUE)</formula>
    </cfRule>
    <cfRule type="expression" dxfId="7" priority="29">
      <formula>IF($S7&gt;$U7,TRUE)</formula>
    </cfRule>
    <cfRule type="expression" dxfId="5" priority="8">
      <formula>IF(AND(ISNUMBER($S7),$S7=$U7),TRUE)</formula>
    </cfRule>
  </conditionalFormatting>
  <conditionalFormatting sqref="AJ7:AJ26;AH7:AH26;AL7:AL26">
    <cfRule type="expression" dxfId="22" priority="38">
      <formula>AND(AG7="",COUNTIF(AH7,"*,*")=0)</formula>
    </cfRule>
    <cfRule type="expression" dxfId="25" priority="36">
      <formula>AND(AG7="",FIND(",",AH7))</formula>
    </cfRule>
  </conditionalFormatting>
  <conditionalFormatting sqref="AN7:AN26;AP7:AP26">
    <cfRule type="expression" dxfId="25" priority="35">
      <formula>AND(AM7="",FIND(",",AN7))</formula>
    </cfRule>
    <cfRule type="expression" dxfId="22" priority="34">
      <formula>AND(AM7="",COUNTIF(AN7,"*,*")=0)</formula>
    </cfRule>
  </conditionalFormatting>
  <pageMargins left="0.393700787401575" right="0.393700787401575" top="0.78740157480315" bottom="0.393700787401575" header="0.78740157480315" footer="0"/>
  <pageSetup paperSize="9" fitToHeight="0" orientation="landscape" verticalDpi="1200"/>
  <headerFooter>
    <oddHeader>&amp;R&amp;P. leht &amp;N&amp; -st</oddHeader>
  </headerFooter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DE9D9"/>
    <pageSetUpPr fitToPage="1"/>
  </sheetPr>
  <dimension ref="A1:AJ319"/>
  <sheetViews>
    <sheetView showGridLines="0" showRowColHeaders="0" workbookViewId="0">
      <pane ySplit="1" topLeftCell="A2" activePane="bottomLeft" state="frozen"/>
      <selection/>
      <selection pane="bottomLeft" activeCell="A5" sqref="A5"/>
    </sheetView>
  </sheetViews>
  <sheetFormatPr defaultColWidth="9" defaultRowHeight="12.3"/>
  <cols>
    <col min="1" max="1" width="3.28828828828829" style="3" customWidth="1"/>
    <col min="2" max="2" width="15.4054054054054" style="3" customWidth="1"/>
    <col min="3" max="3" width="4.71171171171171" style="3" customWidth="1"/>
    <col min="4" max="4" width="1.14414414414414" style="3" customWidth="1"/>
    <col min="5" max="5" width="2.71171171171171" style="3" customWidth="1"/>
    <col min="6" max="6" width="9.14414414414414" style="3"/>
    <col min="7" max="7" width="2.71171171171171" style="3" customWidth="1"/>
    <col min="8" max="8" width="1.14414414414414" style="3" customWidth="1"/>
    <col min="9" max="9" width="2.71171171171171" style="3" customWidth="1"/>
    <col min="10" max="10" width="9.14414414414414" style="3"/>
    <col min="11" max="11" width="2.71171171171171" style="3" customWidth="1"/>
    <col min="12" max="12" width="1.14414414414414" style="3" customWidth="1"/>
    <col min="13" max="13" width="2.71171171171171" style="3" customWidth="1"/>
    <col min="14" max="14" width="9.14414414414414" style="3"/>
    <col min="15" max="15" width="2.71171171171171" style="3" customWidth="1"/>
    <col min="16" max="16" width="1.14414414414414" style="3" customWidth="1"/>
    <col min="17" max="17" width="2.71171171171171" style="3" customWidth="1"/>
    <col min="18" max="18" width="9.14414414414414" style="3"/>
    <col min="19" max="19" width="2.71171171171171" style="3" customWidth="1"/>
    <col min="20" max="20" width="1.14414414414414" style="3" customWidth="1"/>
    <col min="21" max="21" width="2.71171171171171" style="3" customWidth="1"/>
    <col min="22" max="22" width="9.14414414414414" style="3" customWidth="1"/>
    <col min="23" max="23" width="2.71171171171171" style="3" hidden="1" customWidth="1"/>
    <col min="24" max="24" width="1.14414414414414" style="3" hidden="1" customWidth="1"/>
    <col min="25" max="25" width="2.71171171171171" style="3" hidden="1" customWidth="1"/>
    <col min="26" max="26" width="9.14414414414414" style="3" hidden="1" customWidth="1"/>
    <col min="27" max="28" width="5.71171171171171" style="3" customWidth="1"/>
    <col min="29" max="29" width="6.85585585585586" style="3" hidden="1" customWidth="1"/>
    <col min="30" max="30" width="2.71171171171171" style="3" customWidth="1"/>
    <col min="31" max="31" width="1.14414414414414" style="3" customWidth="1"/>
    <col min="32" max="32" width="2.71171171171171" style="3" customWidth="1"/>
    <col min="33" max="33" width="3.56756756756757" style="3" customWidth="1"/>
    <col min="34" max="34" width="9" style="3" hidden="1" customWidth="1"/>
    <col min="35" max="35" width="17" style="3" hidden="1" customWidth="1"/>
    <col min="36" max="36" width="9" style="3" hidden="1" customWidth="1"/>
    <col min="37" max="16384" width="9.14414414414414" style="3"/>
  </cols>
  <sheetData>
    <row r="1" spans="1:36">
      <c r="A1" s="4" t="str">
        <f>UPPER((Kalend!E15)&amp;" - "&amp;(Kalend!C15))&amp;" - "&amp;LOWER(Kalend!D15)&amp;" - "&amp;(Kalend!A15)&amp;" kell "&amp;(Kalend!B15)&amp;" - "&amp;(Kalend!F15)</f>
        <v>JAANI - JAANIPÄEVA PLIKS-PLAKS - üksik - P, 23.06.2024 kell 12:00 - Voka staadion</v>
      </c>
      <c r="O1" s="6"/>
      <c r="P1" s="6"/>
      <c r="Q1" s="20"/>
      <c r="R1" s="20"/>
      <c r="S1" s="20"/>
      <c r="T1" s="21"/>
      <c r="U1" s="21"/>
      <c r="V1" s="21"/>
      <c r="W1" s="6"/>
      <c r="X1" s="22"/>
      <c r="Y1" s="6"/>
      <c r="Z1" s="6"/>
      <c r="AA1" s="6"/>
      <c r="AH1" s="30" t="s">
        <v>149</v>
      </c>
      <c r="AI1" s="31"/>
      <c r="AJ1" s="31"/>
    </row>
    <row r="2" spans="1:35">
      <c r="A2" s="5"/>
      <c r="F2" s="6"/>
      <c r="L2" s="19"/>
      <c r="M2" s="19"/>
      <c r="N2" s="19"/>
      <c r="O2" s="6"/>
      <c r="P2" s="6"/>
      <c r="Q2" s="6"/>
      <c r="S2" s="6"/>
      <c r="T2" s="19"/>
      <c r="U2" s="19"/>
      <c r="V2" s="23" t="s">
        <v>322</v>
      </c>
      <c r="AA2" s="24">
        <v>1</v>
      </c>
      <c r="AB2" s="6" t="s">
        <v>323</v>
      </c>
      <c r="AC2" s="6"/>
      <c r="AD2" s="6"/>
      <c r="AE2" s="6"/>
      <c r="AF2" s="6"/>
      <c r="AI2" s="6"/>
    </row>
    <row r="3" spans="1:36">
      <c r="A3" s="5"/>
      <c r="F3" s="6"/>
      <c r="L3" s="6"/>
      <c r="M3" s="6"/>
      <c r="N3" s="6"/>
      <c r="O3" s="6"/>
      <c r="P3" s="6"/>
      <c r="Q3" s="6"/>
      <c r="S3" s="6"/>
      <c r="T3" s="6"/>
      <c r="U3" s="6"/>
      <c r="V3" s="25" t="s">
        <v>324</v>
      </c>
      <c r="AA3" s="24">
        <v>0.5</v>
      </c>
      <c r="AB3" s="6" t="s">
        <v>325</v>
      </c>
      <c r="AC3" s="6"/>
      <c r="AD3" s="6"/>
      <c r="AE3" s="6"/>
      <c r="AF3" s="6"/>
      <c r="AI3" s="19"/>
      <c r="AJ3" s="19"/>
    </row>
    <row r="4" spans="6:32">
      <c r="F4" s="6"/>
      <c r="L4" s="6"/>
      <c r="M4" s="6"/>
      <c r="N4" s="6"/>
      <c r="O4" s="6"/>
      <c r="P4" s="6"/>
      <c r="Q4" s="6"/>
      <c r="S4" s="6"/>
      <c r="T4" s="6"/>
      <c r="U4" s="6"/>
      <c r="V4" s="26" t="s">
        <v>326</v>
      </c>
      <c r="AA4" s="24">
        <v>0</v>
      </c>
      <c r="AB4" s="6" t="s">
        <v>325</v>
      </c>
      <c r="AC4" s="6"/>
      <c r="AD4" s="6"/>
      <c r="AE4" s="6"/>
      <c r="AF4" s="6"/>
    </row>
    <row r="5" spans="6:34">
      <c r="F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AA5" s="6"/>
      <c r="AB5" s="6"/>
      <c r="AC5" s="6"/>
      <c r="AD5" s="6"/>
      <c r="AE5" s="6"/>
      <c r="AF5" s="32" t="s">
        <v>327</v>
      </c>
      <c r="AH5" s="33" t="s">
        <v>328</v>
      </c>
    </row>
    <row r="6" spans="1:36">
      <c r="A6" s="7" t="s">
        <v>329</v>
      </c>
      <c r="B6" s="7" t="s">
        <v>180</v>
      </c>
      <c r="C6" s="8" t="s">
        <v>330</v>
      </c>
      <c r="D6" s="9"/>
      <c r="E6" s="9"/>
      <c r="F6" s="10"/>
      <c r="G6" s="8" t="s">
        <v>331</v>
      </c>
      <c r="H6" s="9"/>
      <c r="I6" s="9"/>
      <c r="J6" s="10"/>
      <c r="K6" s="8" t="s">
        <v>332</v>
      </c>
      <c r="L6" s="9"/>
      <c r="M6" s="9"/>
      <c r="N6" s="10"/>
      <c r="O6" s="8" t="s">
        <v>333</v>
      </c>
      <c r="P6" s="9"/>
      <c r="Q6" s="9"/>
      <c r="R6" s="10"/>
      <c r="S6" s="8" t="s">
        <v>334</v>
      </c>
      <c r="T6" s="9"/>
      <c r="U6" s="9"/>
      <c r="V6" s="10"/>
      <c r="W6" s="8" t="s">
        <v>376</v>
      </c>
      <c r="X6" s="9"/>
      <c r="Y6" s="9"/>
      <c r="Z6" s="10"/>
      <c r="AA6" s="117" t="s">
        <v>162</v>
      </c>
      <c r="AB6" s="7" t="s">
        <v>335</v>
      </c>
      <c r="AC6" s="7" t="s">
        <v>336</v>
      </c>
      <c r="AD6" s="7"/>
      <c r="AE6" s="34" t="s">
        <v>337</v>
      </c>
      <c r="AF6" s="35"/>
      <c r="AG6" s="36" t="s">
        <v>338</v>
      </c>
      <c r="AH6" s="37" t="s">
        <v>147</v>
      </c>
      <c r="AI6" s="38" t="s">
        <v>180</v>
      </c>
      <c r="AJ6" s="38"/>
    </row>
    <row r="7" spans="1:36">
      <c r="A7" s="11">
        <v>1</v>
      </c>
      <c r="B7" s="12" t="s">
        <v>202</v>
      </c>
      <c r="C7" s="13">
        <v>13</v>
      </c>
      <c r="D7" s="14" t="s">
        <v>346</v>
      </c>
      <c r="E7" s="14">
        <v>8</v>
      </c>
      <c r="F7" s="15" t="s">
        <v>244</v>
      </c>
      <c r="G7" s="13">
        <v>13</v>
      </c>
      <c r="H7" s="14" t="s">
        <v>346</v>
      </c>
      <c r="I7" s="14">
        <v>5</v>
      </c>
      <c r="J7" s="15" t="s">
        <v>212</v>
      </c>
      <c r="K7" s="13">
        <v>13</v>
      </c>
      <c r="L7" s="14" t="s">
        <v>346</v>
      </c>
      <c r="M7" s="14">
        <v>6</v>
      </c>
      <c r="N7" s="15" t="s">
        <v>243</v>
      </c>
      <c r="O7" s="13">
        <v>13</v>
      </c>
      <c r="P7" s="14" t="s">
        <v>346</v>
      </c>
      <c r="Q7" s="14">
        <v>5</v>
      </c>
      <c r="R7" s="15" t="s">
        <v>233</v>
      </c>
      <c r="S7" s="13">
        <v>13</v>
      </c>
      <c r="T7" s="14" t="s">
        <v>346</v>
      </c>
      <c r="U7" s="14">
        <v>11</v>
      </c>
      <c r="V7" s="15" t="s">
        <v>64</v>
      </c>
      <c r="W7" s="13"/>
      <c r="X7" s="14"/>
      <c r="Y7" s="14"/>
      <c r="Z7" s="15"/>
      <c r="AA7" s="118">
        <v>5</v>
      </c>
      <c r="AB7" s="29">
        <v>12</v>
      </c>
      <c r="AC7" s="29"/>
      <c r="AD7" s="13">
        <f t="shared" ref="AD7:AD19" si="0">C7+G7+K7+O7+S7</f>
        <v>65</v>
      </c>
      <c r="AE7" s="14" t="s">
        <v>346</v>
      </c>
      <c r="AF7" s="39">
        <f t="shared" ref="AF7:AF19" si="1">E7+I7+M7+Q7+U7</f>
        <v>35</v>
      </c>
      <c r="AG7" s="40">
        <f t="shared" ref="AG7:AG19" si="2">AD7-AF7</f>
        <v>30</v>
      </c>
      <c r="AH7" s="41">
        <f>SUM(AI7:AJ7)</f>
        <v>146</v>
      </c>
      <c r="AI7" s="61" t="str">
        <f>$B7</f>
        <v>Kristel Tihhonjuk</v>
      </c>
      <c r="AJ7" s="42">
        <f>IFERROR(INDEX(V!$R:$R,MATCH(AI7,V!$L:$L,0)),"")</f>
        <v>146</v>
      </c>
    </row>
    <row r="8" spans="1:36">
      <c r="A8" s="11">
        <v>2</v>
      </c>
      <c r="B8" s="16" t="s">
        <v>199</v>
      </c>
      <c r="C8" s="13">
        <v>13</v>
      </c>
      <c r="D8" s="14" t="s">
        <v>346</v>
      </c>
      <c r="E8" s="14">
        <v>11</v>
      </c>
      <c r="F8" s="15" t="s">
        <v>395</v>
      </c>
      <c r="G8" s="13">
        <v>13</v>
      </c>
      <c r="H8" s="14" t="s">
        <v>346</v>
      </c>
      <c r="I8" s="14">
        <v>11</v>
      </c>
      <c r="J8" s="15" t="s">
        <v>192</v>
      </c>
      <c r="K8" s="13">
        <v>9</v>
      </c>
      <c r="L8" s="14" t="s">
        <v>346</v>
      </c>
      <c r="M8" s="14">
        <v>10</v>
      </c>
      <c r="N8" s="15" t="s">
        <v>233</v>
      </c>
      <c r="O8" s="13">
        <v>13</v>
      </c>
      <c r="P8" s="14" t="s">
        <v>346</v>
      </c>
      <c r="Q8" s="14">
        <v>11</v>
      </c>
      <c r="R8" s="15" t="s">
        <v>243</v>
      </c>
      <c r="S8" s="13">
        <v>11</v>
      </c>
      <c r="T8" s="14" t="s">
        <v>346</v>
      </c>
      <c r="U8" s="14">
        <v>13</v>
      </c>
      <c r="V8" s="15" t="s">
        <v>207</v>
      </c>
      <c r="W8" s="13"/>
      <c r="X8" s="14"/>
      <c r="Y8" s="14"/>
      <c r="Z8" s="15"/>
      <c r="AA8" s="118">
        <v>5</v>
      </c>
      <c r="AB8" s="29">
        <v>16</v>
      </c>
      <c r="AC8" s="29"/>
      <c r="AD8" s="13">
        <f t="shared" si="0"/>
        <v>59</v>
      </c>
      <c r="AE8" s="14" t="s">
        <v>346</v>
      </c>
      <c r="AF8" s="39">
        <f t="shared" si="1"/>
        <v>56</v>
      </c>
      <c r="AG8" s="40">
        <f t="shared" si="2"/>
        <v>3</v>
      </c>
      <c r="AH8" s="60">
        <f t="shared" ref="AH8" si="3">SUM(AJ8:AJ8)</f>
        <v>146</v>
      </c>
      <c r="AI8" s="61" t="str">
        <f t="shared" ref="AI8:AI26" si="4">$B8</f>
        <v>Meelis Luud</v>
      </c>
      <c r="AJ8" s="42">
        <f>IFERROR(INDEX(V!$R:$R,MATCH(AI8,V!$L:$L,0)),"")</f>
        <v>146</v>
      </c>
    </row>
    <row r="9" spans="1:36">
      <c r="A9" s="11">
        <v>3</v>
      </c>
      <c r="B9" s="17" t="s">
        <v>239</v>
      </c>
      <c r="C9" s="13">
        <v>2</v>
      </c>
      <c r="D9" s="14" t="s">
        <v>346</v>
      </c>
      <c r="E9" s="14">
        <v>13</v>
      </c>
      <c r="F9" s="15" t="s">
        <v>233</v>
      </c>
      <c r="G9" s="13">
        <v>13</v>
      </c>
      <c r="H9" s="14" t="s">
        <v>346</v>
      </c>
      <c r="I9" s="14">
        <v>12</v>
      </c>
      <c r="J9" s="15" t="s">
        <v>395</v>
      </c>
      <c r="K9" s="13">
        <v>13</v>
      </c>
      <c r="L9" s="14" t="s">
        <v>346</v>
      </c>
      <c r="M9" s="14">
        <v>11</v>
      </c>
      <c r="N9" s="15" t="s">
        <v>244</v>
      </c>
      <c r="O9" s="13">
        <v>12</v>
      </c>
      <c r="P9" s="14" t="s">
        <v>346</v>
      </c>
      <c r="Q9" s="14">
        <v>11</v>
      </c>
      <c r="R9" s="15" t="s">
        <v>192</v>
      </c>
      <c r="S9" s="13">
        <v>13</v>
      </c>
      <c r="T9" s="14" t="s">
        <v>346</v>
      </c>
      <c r="U9" s="14">
        <v>9</v>
      </c>
      <c r="V9" s="15" t="s">
        <v>204</v>
      </c>
      <c r="W9" s="13"/>
      <c r="X9" s="14"/>
      <c r="Y9" s="14"/>
      <c r="Z9" s="15"/>
      <c r="AA9" s="118">
        <v>4</v>
      </c>
      <c r="AB9" s="29">
        <v>12</v>
      </c>
      <c r="AC9" s="29"/>
      <c r="AD9" s="13">
        <f t="shared" si="0"/>
        <v>53</v>
      </c>
      <c r="AE9" s="14" t="s">
        <v>346</v>
      </c>
      <c r="AF9" s="39">
        <f t="shared" si="1"/>
        <v>56</v>
      </c>
      <c r="AG9" s="40">
        <f t="shared" si="2"/>
        <v>-3</v>
      </c>
      <c r="AH9" s="41">
        <f t="shared" ref="AH9:AH19" si="5">SUM(AI9:AJ9)</f>
        <v>16</v>
      </c>
      <c r="AI9" s="61" t="str">
        <f t="shared" si="4"/>
        <v>Peep Peenema</v>
      </c>
      <c r="AJ9" s="42">
        <f>IFERROR(INDEX(V!$R:$R,MATCH(AI9,V!$L:$L,0)),"")</f>
        <v>16</v>
      </c>
    </row>
    <row r="10" spans="1:36">
      <c r="A10" s="11">
        <v>4</v>
      </c>
      <c r="B10" s="17" t="s">
        <v>233</v>
      </c>
      <c r="C10" s="13">
        <v>13</v>
      </c>
      <c r="D10" s="14" t="s">
        <v>346</v>
      </c>
      <c r="E10" s="14">
        <v>2</v>
      </c>
      <c r="F10" s="15" t="s">
        <v>239</v>
      </c>
      <c r="G10" s="13">
        <v>9</v>
      </c>
      <c r="H10" s="14" t="s">
        <v>346</v>
      </c>
      <c r="I10" s="14">
        <v>13</v>
      </c>
      <c r="J10" s="15" t="s">
        <v>243</v>
      </c>
      <c r="K10" s="13">
        <v>10</v>
      </c>
      <c r="L10" s="14" t="s">
        <v>346</v>
      </c>
      <c r="M10" s="14">
        <v>9</v>
      </c>
      <c r="N10" s="15" t="s">
        <v>199</v>
      </c>
      <c r="O10" s="13">
        <v>5</v>
      </c>
      <c r="P10" s="14" t="s">
        <v>346</v>
      </c>
      <c r="Q10" s="14">
        <v>13</v>
      </c>
      <c r="R10" s="15" t="s">
        <v>202</v>
      </c>
      <c r="S10" s="13">
        <v>13</v>
      </c>
      <c r="T10" s="14" t="s">
        <v>346</v>
      </c>
      <c r="U10" s="14">
        <v>11</v>
      </c>
      <c r="V10" s="15" t="s">
        <v>219</v>
      </c>
      <c r="W10" s="13"/>
      <c r="X10" s="14"/>
      <c r="Y10" s="14"/>
      <c r="Z10" s="15"/>
      <c r="AA10" s="118">
        <v>4</v>
      </c>
      <c r="AB10" s="29">
        <v>24</v>
      </c>
      <c r="AC10" s="29"/>
      <c r="AD10" s="13">
        <f t="shared" si="0"/>
        <v>50</v>
      </c>
      <c r="AE10" s="14" t="s">
        <v>346</v>
      </c>
      <c r="AF10" s="39">
        <f t="shared" si="1"/>
        <v>48</v>
      </c>
      <c r="AG10" s="40">
        <f t="shared" si="2"/>
        <v>2</v>
      </c>
      <c r="AH10" s="41">
        <f t="shared" si="5"/>
        <v>26</v>
      </c>
      <c r="AI10" s="61" t="str">
        <f t="shared" si="4"/>
        <v>Jaan Saar</v>
      </c>
      <c r="AJ10" s="42">
        <f>IFERROR(INDEX(V!$R:$R,MATCH(AI10,V!$L:$L,0)),"")</f>
        <v>26</v>
      </c>
    </row>
    <row r="11" spans="1:36">
      <c r="A11" s="11">
        <v>5</v>
      </c>
      <c r="B11" s="16" t="s">
        <v>243</v>
      </c>
      <c r="C11" s="13">
        <v>13</v>
      </c>
      <c r="D11" s="14" t="s">
        <v>346</v>
      </c>
      <c r="E11" s="14">
        <v>9</v>
      </c>
      <c r="F11" s="15" t="s">
        <v>214</v>
      </c>
      <c r="G11" s="13">
        <v>13</v>
      </c>
      <c r="H11" s="14" t="s">
        <v>346</v>
      </c>
      <c r="I11" s="14">
        <v>9</v>
      </c>
      <c r="J11" s="15" t="s">
        <v>233</v>
      </c>
      <c r="K11" s="13">
        <v>6</v>
      </c>
      <c r="L11" s="14" t="s">
        <v>346</v>
      </c>
      <c r="M11" s="14">
        <v>13</v>
      </c>
      <c r="N11" s="15" t="s">
        <v>202</v>
      </c>
      <c r="O11" s="13">
        <v>11</v>
      </c>
      <c r="P11" s="14" t="s">
        <v>346</v>
      </c>
      <c r="Q11" s="14">
        <v>13</v>
      </c>
      <c r="R11" s="15" t="s">
        <v>199</v>
      </c>
      <c r="S11" s="13">
        <v>13</v>
      </c>
      <c r="T11" s="14" t="s">
        <v>346</v>
      </c>
      <c r="U11" s="14">
        <v>12</v>
      </c>
      <c r="V11" s="15" t="s">
        <v>212</v>
      </c>
      <c r="W11" s="13"/>
      <c r="X11" s="14"/>
      <c r="Y11" s="14"/>
      <c r="Z11" s="15"/>
      <c r="AA11" s="118">
        <v>4</v>
      </c>
      <c r="AB11" s="29">
        <v>20</v>
      </c>
      <c r="AC11" s="29"/>
      <c r="AD11" s="13">
        <f t="shared" si="0"/>
        <v>56</v>
      </c>
      <c r="AE11" s="14" t="s">
        <v>346</v>
      </c>
      <c r="AF11" s="39">
        <f t="shared" si="1"/>
        <v>56</v>
      </c>
      <c r="AG11" s="40">
        <f t="shared" si="2"/>
        <v>0</v>
      </c>
      <c r="AH11" s="41">
        <f t="shared" si="5"/>
        <v>2</v>
      </c>
      <c r="AI11" s="61" t="str">
        <f t="shared" si="4"/>
        <v>Jüri Mitt</v>
      </c>
      <c r="AJ11" s="42">
        <f>IFERROR(INDEX(V!$R:$R,MATCH(AI11,V!$L:$L,0)),"")</f>
        <v>2</v>
      </c>
    </row>
    <row r="12" spans="1:36">
      <c r="A12" s="11">
        <v>6</v>
      </c>
      <c r="B12" s="17" t="s">
        <v>192</v>
      </c>
      <c r="C12" s="13">
        <v>13</v>
      </c>
      <c r="D12" s="14" t="s">
        <v>346</v>
      </c>
      <c r="E12" s="14">
        <v>5</v>
      </c>
      <c r="F12" s="15" t="s">
        <v>217</v>
      </c>
      <c r="G12" s="13">
        <v>11</v>
      </c>
      <c r="H12" s="14" t="s">
        <v>346</v>
      </c>
      <c r="I12" s="14">
        <v>13</v>
      </c>
      <c r="J12" s="15" t="s">
        <v>199</v>
      </c>
      <c r="K12" s="13">
        <v>13</v>
      </c>
      <c r="L12" s="14" t="s">
        <v>346</v>
      </c>
      <c r="M12" s="14">
        <v>8</v>
      </c>
      <c r="N12" s="15" t="s">
        <v>212</v>
      </c>
      <c r="O12" s="13">
        <v>11</v>
      </c>
      <c r="P12" s="14" t="s">
        <v>346</v>
      </c>
      <c r="Q12" s="14">
        <v>12</v>
      </c>
      <c r="R12" s="15" t="s">
        <v>239</v>
      </c>
      <c r="S12" s="13">
        <v>9</v>
      </c>
      <c r="T12" s="14" t="s">
        <v>346</v>
      </c>
      <c r="U12" s="14">
        <v>13</v>
      </c>
      <c r="V12" s="15" t="s">
        <v>201</v>
      </c>
      <c r="W12" s="13"/>
      <c r="X12" s="14"/>
      <c r="Y12" s="14"/>
      <c r="Z12" s="15"/>
      <c r="AA12" s="118">
        <v>4</v>
      </c>
      <c r="AB12" s="29">
        <v>18</v>
      </c>
      <c r="AC12" s="29"/>
      <c r="AD12" s="13">
        <f t="shared" si="0"/>
        <v>57</v>
      </c>
      <c r="AE12" s="14" t="s">
        <v>346</v>
      </c>
      <c r="AF12" s="39">
        <f t="shared" si="1"/>
        <v>51</v>
      </c>
      <c r="AG12" s="40">
        <f t="shared" si="2"/>
        <v>6</v>
      </c>
      <c r="AH12" s="41">
        <f t="shared" si="5"/>
        <v>176</v>
      </c>
      <c r="AI12" s="61" t="str">
        <f t="shared" si="4"/>
        <v>Vadim Tihhonjuk</v>
      </c>
      <c r="AJ12" s="42">
        <f>IFERROR(INDEX(V!$R:$R,MATCH(AI12,V!$L:$L,0)),"")</f>
        <v>176</v>
      </c>
    </row>
    <row r="13" spans="1:36">
      <c r="A13" s="11">
        <v>7</v>
      </c>
      <c r="B13" s="18" t="s">
        <v>395</v>
      </c>
      <c r="C13" s="13">
        <v>11</v>
      </c>
      <c r="D13" s="14" t="s">
        <v>346</v>
      </c>
      <c r="E13" s="14">
        <v>13</v>
      </c>
      <c r="F13" s="15" t="s">
        <v>199</v>
      </c>
      <c r="G13" s="13">
        <v>12</v>
      </c>
      <c r="H13" s="14" t="s">
        <v>346</v>
      </c>
      <c r="I13" s="14">
        <v>13</v>
      </c>
      <c r="J13" s="15" t="s">
        <v>239</v>
      </c>
      <c r="K13" s="13">
        <v>13</v>
      </c>
      <c r="L13" s="14" t="s">
        <v>346</v>
      </c>
      <c r="M13" s="14">
        <v>5</v>
      </c>
      <c r="N13" s="15" t="s">
        <v>217</v>
      </c>
      <c r="O13" s="13">
        <v>13</v>
      </c>
      <c r="P13" s="14" t="s">
        <v>346</v>
      </c>
      <c r="Q13" s="14">
        <v>12</v>
      </c>
      <c r="R13" s="15" t="s">
        <v>213</v>
      </c>
      <c r="S13" s="13">
        <v>13</v>
      </c>
      <c r="T13" s="14" t="s">
        <v>346</v>
      </c>
      <c r="U13" s="14">
        <v>11</v>
      </c>
      <c r="V13" s="15" t="s">
        <v>192</v>
      </c>
      <c r="W13" s="13"/>
      <c r="X13" s="14"/>
      <c r="Y13" s="14"/>
      <c r="Z13" s="15"/>
      <c r="AA13" s="118">
        <v>4</v>
      </c>
      <c r="AB13" s="29">
        <v>18</v>
      </c>
      <c r="AC13" s="29"/>
      <c r="AD13" s="13">
        <f t="shared" si="0"/>
        <v>62</v>
      </c>
      <c r="AE13" s="14" t="s">
        <v>346</v>
      </c>
      <c r="AF13" s="39">
        <f t="shared" si="1"/>
        <v>54</v>
      </c>
      <c r="AG13" s="40">
        <f t="shared" si="2"/>
        <v>8</v>
      </c>
      <c r="AH13" s="41">
        <f t="shared" si="5"/>
        <v>0</v>
      </c>
      <c r="AI13" s="61" t="str">
        <f t="shared" si="4"/>
        <v>Aulis Paal</v>
      </c>
      <c r="AJ13" s="42" t="str">
        <f>IFERROR(INDEX(V!$R:$R,MATCH(AI13,V!$L:$L,0)),"")</f>
        <v/>
      </c>
    </row>
    <row r="14" spans="1:36">
      <c r="A14" s="11">
        <v>8</v>
      </c>
      <c r="B14" s="18" t="s">
        <v>212</v>
      </c>
      <c r="C14" s="13">
        <v>13</v>
      </c>
      <c r="D14" s="14" t="s">
        <v>346</v>
      </c>
      <c r="E14" s="14">
        <v>7</v>
      </c>
      <c r="F14" s="15" t="s">
        <v>213</v>
      </c>
      <c r="G14" s="13">
        <v>5</v>
      </c>
      <c r="H14" s="14" t="s">
        <v>346</v>
      </c>
      <c r="I14" s="14">
        <v>13</v>
      </c>
      <c r="J14" s="15" t="s">
        <v>202</v>
      </c>
      <c r="K14" s="13">
        <v>8</v>
      </c>
      <c r="L14" s="14" t="s">
        <v>346</v>
      </c>
      <c r="M14" s="14">
        <v>13</v>
      </c>
      <c r="N14" s="15" t="s">
        <v>192</v>
      </c>
      <c r="O14" s="13">
        <v>13</v>
      </c>
      <c r="P14" s="14" t="s">
        <v>346</v>
      </c>
      <c r="Q14" s="14">
        <v>8</v>
      </c>
      <c r="R14" s="15" t="s">
        <v>214</v>
      </c>
      <c r="S14" s="13">
        <v>13</v>
      </c>
      <c r="T14" s="14" t="s">
        <v>346</v>
      </c>
      <c r="U14" s="14">
        <v>9</v>
      </c>
      <c r="V14" s="15" t="s">
        <v>236</v>
      </c>
      <c r="W14" s="13"/>
      <c r="X14" s="14"/>
      <c r="Y14" s="14"/>
      <c r="Z14" s="15"/>
      <c r="AA14" s="118">
        <v>3</v>
      </c>
      <c r="AB14" s="29">
        <v>18</v>
      </c>
      <c r="AC14" s="29"/>
      <c r="AD14" s="13">
        <f t="shared" si="0"/>
        <v>52</v>
      </c>
      <c r="AE14" s="14" t="s">
        <v>346</v>
      </c>
      <c r="AF14" s="39">
        <f t="shared" si="1"/>
        <v>50</v>
      </c>
      <c r="AG14" s="40">
        <f t="shared" si="2"/>
        <v>2</v>
      </c>
      <c r="AH14" s="41">
        <f t="shared" si="5"/>
        <v>96</v>
      </c>
      <c r="AI14" s="61" t="str">
        <f t="shared" si="4"/>
        <v>Andrei Grintšak</v>
      </c>
      <c r="AJ14" s="42">
        <f>IFERROR(INDEX(V!$R:$R,MATCH(AI14,V!$L:$L,0)),"")</f>
        <v>96</v>
      </c>
    </row>
    <row r="15" spans="1:36">
      <c r="A15" s="11">
        <v>9</v>
      </c>
      <c r="B15" s="17" t="s">
        <v>213</v>
      </c>
      <c r="C15" s="13">
        <v>7</v>
      </c>
      <c r="D15" s="14" t="s">
        <v>346</v>
      </c>
      <c r="E15" s="14">
        <v>13</v>
      </c>
      <c r="F15" s="15" t="s">
        <v>212</v>
      </c>
      <c r="G15" s="13">
        <v>13</v>
      </c>
      <c r="H15" s="14" t="s">
        <v>346</v>
      </c>
      <c r="I15" s="14">
        <v>4</v>
      </c>
      <c r="J15" s="15" t="s">
        <v>244</v>
      </c>
      <c r="K15" s="13">
        <v>13</v>
      </c>
      <c r="L15" s="14" t="s">
        <v>346</v>
      </c>
      <c r="M15" s="14">
        <v>10</v>
      </c>
      <c r="N15" s="15" t="s">
        <v>214</v>
      </c>
      <c r="O15" s="13">
        <v>12</v>
      </c>
      <c r="P15" s="14" t="s">
        <v>346</v>
      </c>
      <c r="Q15" s="14">
        <v>13</v>
      </c>
      <c r="R15" s="15" t="s">
        <v>395</v>
      </c>
      <c r="S15" s="13">
        <v>13</v>
      </c>
      <c r="T15" s="14" t="s">
        <v>346</v>
      </c>
      <c r="U15" s="14">
        <v>6</v>
      </c>
      <c r="V15" s="15" t="s">
        <v>223</v>
      </c>
      <c r="W15" s="13"/>
      <c r="X15" s="14"/>
      <c r="Y15" s="14"/>
      <c r="Z15" s="15"/>
      <c r="AA15" s="118">
        <v>3</v>
      </c>
      <c r="AB15" s="29">
        <v>10</v>
      </c>
      <c r="AC15" s="29"/>
      <c r="AD15" s="13">
        <f t="shared" si="0"/>
        <v>58</v>
      </c>
      <c r="AE15" s="14" t="s">
        <v>346</v>
      </c>
      <c r="AF15" s="39">
        <f t="shared" si="1"/>
        <v>46</v>
      </c>
      <c r="AG15" s="40">
        <f t="shared" si="2"/>
        <v>12</v>
      </c>
      <c r="AH15" s="41">
        <f t="shared" si="5"/>
        <v>88</v>
      </c>
      <c r="AI15" s="61" t="str">
        <f t="shared" si="4"/>
        <v>Enn Tokman</v>
      </c>
      <c r="AJ15" s="42">
        <f>IFERROR(INDEX(V!$R:$R,MATCH(AI15,V!$L:$L,0)),"")</f>
        <v>88</v>
      </c>
    </row>
    <row r="16" spans="1:36">
      <c r="A16" s="11">
        <v>10</v>
      </c>
      <c r="B16" s="18" t="s">
        <v>214</v>
      </c>
      <c r="C16" s="13">
        <v>9</v>
      </c>
      <c r="D16" s="14" t="s">
        <v>346</v>
      </c>
      <c r="E16" s="14">
        <v>13</v>
      </c>
      <c r="F16" s="15" t="s">
        <v>243</v>
      </c>
      <c r="G16" s="13">
        <v>13</v>
      </c>
      <c r="H16" s="14" t="s">
        <v>346</v>
      </c>
      <c r="I16" s="14">
        <v>11</v>
      </c>
      <c r="J16" s="15" t="s">
        <v>217</v>
      </c>
      <c r="K16" s="13">
        <v>10</v>
      </c>
      <c r="L16" s="14" t="s">
        <v>346</v>
      </c>
      <c r="M16" s="14">
        <v>13</v>
      </c>
      <c r="N16" s="15" t="s">
        <v>213</v>
      </c>
      <c r="O16" s="13">
        <v>8</v>
      </c>
      <c r="P16" s="14" t="s">
        <v>346</v>
      </c>
      <c r="Q16" s="14">
        <v>13</v>
      </c>
      <c r="R16" s="15" t="s">
        <v>212</v>
      </c>
      <c r="S16" s="13">
        <v>11</v>
      </c>
      <c r="T16" s="14" t="s">
        <v>346</v>
      </c>
      <c r="U16" s="14">
        <v>13</v>
      </c>
      <c r="V16" s="15" t="s">
        <v>296</v>
      </c>
      <c r="W16" s="13"/>
      <c r="X16" s="14"/>
      <c r="Y16" s="14"/>
      <c r="Z16" s="15"/>
      <c r="AA16" s="118">
        <v>3</v>
      </c>
      <c r="AB16" s="29">
        <v>14</v>
      </c>
      <c r="AC16" s="29"/>
      <c r="AD16" s="13">
        <f t="shared" si="0"/>
        <v>51</v>
      </c>
      <c r="AE16" s="14" t="s">
        <v>346</v>
      </c>
      <c r="AF16" s="39">
        <f t="shared" si="1"/>
        <v>63</v>
      </c>
      <c r="AG16" s="40">
        <f t="shared" si="2"/>
        <v>-12</v>
      </c>
      <c r="AH16" s="41">
        <f t="shared" si="5"/>
        <v>86</v>
      </c>
      <c r="AI16" s="61" t="str">
        <f t="shared" si="4"/>
        <v>Kenneth Muusikus</v>
      </c>
      <c r="AJ16" s="42">
        <f>IFERROR(INDEX(V!$R:$R,MATCH(AI16,V!$L:$L,0)),"")</f>
        <v>86</v>
      </c>
    </row>
    <row r="17" spans="1:36">
      <c r="A17" s="11">
        <v>11</v>
      </c>
      <c r="B17" s="17" t="s">
        <v>217</v>
      </c>
      <c r="C17" s="13">
        <v>5</v>
      </c>
      <c r="D17" s="14" t="s">
        <v>346</v>
      </c>
      <c r="E17" s="14">
        <v>13</v>
      </c>
      <c r="F17" s="15" t="s">
        <v>192</v>
      </c>
      <c r="G17" s="13">
        <v>11</v>
      </c>
      <c r="H17" s="14" t="s">
        <v>346</v>
      </c>
      <c r="I17" s="14">
        <v>13</v>
      </c>
      <c r="J17" s="15" t="s">
        <v>214</v>
      </c>
      <c r="K17" s="13">
        <v>5</v>
      </c>
      <c r="L17" s="14" t="s">
        <v>346</v>
      </c>
      <c r="M17" s="14">
        <v>13</v>
      </c>
      <c r="N17" s="15" t="s">
        <v>395</v>
      </c>
      <c r="O17" s="13">
        <v>13</v>
      </c>
      <c r="P17" s="14" t="s">
        <v>346</v>
      </c>
      <c r="Q17" s="14">
        <v>10</v>
      </c>
      <c r="R17" s="15" t="s">
        <v>244</v>
      </c>
      <c r="S17" s="13">
        <v>13</v>
      </c>
      <c r="T17" s="14" t="s">
        <v>346</v>
      </c>
      <c r="U17" s="14">
        <v>12</v>
      </c>
      <c r="V17" s="15" t="s">
        <v>230</v>
      </c>
      <c r="W17" s="13"/>
      <c r="X17" s="14"/>
      <c r="Y17" s="14"/>
      <c r="Z17" s="15"/>
      <c r="AA17" s="118">
        <v>3</v>
      </c>
      <c r="AB17" s="29">
        <v>10</v>
      </c>
      <c r="AC17" s="29"/>
      <c r="AD17" s="13">
        <f t="shared" si="0"/>
        <v>47</v>
      </c>
      <c r="AE17" s="14" t="s">
        <v>346</v>
      </c>
      <c r="AF17" s="39">
        <f t="shared" si="1"/>
        <v>61</v>
      </c>
      <c r="AG17" s="40">
        <f t="shared" si="2"/>
        <v>-14</v>
      </c>
      <c r="AH17" s="41">
        <f t="shared" si="5"/>
        <v>78</v>
      </c>
      <c r="AI17" s="61" t="str">
        <f t="shared" si="4"/>
        <v>Väino Aul</v>
      </c>
      <c r="AJ17" s="42">
        <f>IFERROR(INDEX(V!$R:$R,MATCH(AI17,V!$L:$L,0)),"")</f>
        <v>78</v>
      </c>
    </row>
    <row r="18" spans="1:36">
      <c r="A18" s="11">
        <v>12</v>
      </c>
      <c r="B18" s="18" t="s">
        <v>244</v>
      </c>
      <c r="C18" s="13">
        <v>8</v>
      </c>
      <c r="D18" s="14" t="s">
        <v>346</v>
      </c>
      <c r="E18" s="14">
        <v>13</v>
      </c>
      <c r="F18" s="15" t="s">
        <v>202</v>
      </c>
      <c r="G18" s="13">
        <v>4</v>
      </c>
      <c r="H18" s="14" t="s">
        <v>346</v>
      </c>
      <c r="I18" s="14">
        <v>13</v>
      </c>
      <c r="J18" s="15" t="s">
        <v>213</v>
      </c>
      <c r="K18" s="13">
        <v>11</v>
      </c>
      <c r="L18" s="14" t="s">
        <v>346</v>
      </c>
      <c r="M18" s="14">
        <v>13</v>
      </c>
      <c r="N18" s="15" t="s">
        <v>239</v>
      </c>
      <c r="O18" s="13">
        <v>10</v>
      </c>
      <c r="P18" s="14" t="s">
        <v>346</v>
      </c>
      <c r="Q18" s="14">
        <v>13</v>
      </c>
      <c r="R18" s="15" t="s">
        <v>217</v>
      </c>
      <c r="S18" s="13">
        <v>12</v>
      </c>
      <c r="T18" s="14" t="s">
        <v>346</v>
      </c>
      <c r="U18" s="14">
        <v>13</v>
      </c>
      <c r="V18" s="15" t="s">
        <v>248</v>
      </c>
      <c r="W18" s="13"/>
      <c r="X18" s="14"/>
      <c r="Y18" s="14"/>
      <c r="Z18" s="15"/>
      <c r="AA18" s="118">
        <v>3</v>
      </c>
      <c r="AB18" s="29">
        <v>20</v>
      </c>
      <c r="AC18" s="29"/>
      <c r="AD18" s="13">
        <f t="shared" si="0"/>
        <v>45</v>
      </c>
      <c r="AE18" s="14" t="s">
        <v>346</v>
      </c>
      <c r="AF18" s="39">
        <f t="shared" si="1"/>
        <v>65</v>
      </c>
      <c r="AG18" s="40">
        <f t="shared" si="2"/>
        <v>-20</v>
      </c>
      <c r="AH18" s="41">
        <f t="shared" si="5"/>
        <v>2</v>
      </c>
      <c r="AI18" s="61" t="str">
        <f t="shared" si="4"/>
        <v>Tarmo Bombe</v>
      </c>
      <c r="AJ18" s="42">
        <f>IFERROR(INDEX(V!$R:$R,MATCH(AI18,V!$L:$L,0)),"")</f>
        <v>2</v>
      </c>
    </row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  <row r="35" hidden="1"/>
    <row r="36" hidden="1"/>
    <row r="37" hidden="1"/>
    <row r="38" hidden="1"/>
    <row r="39" hidden="1"/>
    <row r="40" hidden="1"/>
    <row r="41" hidden="1"/>
    <row r="42" hidden="1"/>
    <row r="43" hidden="1"/>
    <row r="44" hidden="1"/>
    <row r="45" hidden="1"/>
    <row r="46" hidden="1"/>
    <row r="47" hidden="1"/>
    <row r="48" hidden="1"/>
    <row r="49" hidden="1"/>
    <row r="50" hidden="1"/>
    <row r="51" hidden="1"/>
    <row r="52" hidden="1"/>
    <row r="53" hidden="1"/>
    <row r="54" hidden="1"/>
    <row r="55" hidden="1"/>
    <row r="56" hidden="1"/>
    <row r="57" hidden="1"/>
    <row r="58" hidden="1"/>
    <row r="59" hidden="1"/>
    <row r="60" hidden="1"/>
    <row r="61" hidden="1"/>
    <row r="62" hidden="1"/>
    <row r="63" hidden="1"/>
    <row r="64" hidden="1"/>
    <row r="65" hidden="1"/>
    <row r="66" hidden="1"/>
    <row r="67" hidden="1"/>
    <row r="68" hidden="1"/>
    <row r="69" hidden="1"/>
    <row r="70" hidden="1"/>
    <row r="71" hidden="1"/>
    <row r="72" hidden="1"/>
    <row r="73" hidden="1"/>
    <row r="74" hidden="1"/>
    <row r="75" hidden="1"/>
    <row r="76" hidden="1"/>
    <row r="77" hidden="1"/>
    <row r="78" hidden="1"/>
    <row r="79" hidden="1"/>
    <row r="80" hidden="1"/>
    <row r="81" hidden="1"/>
    <row r="82" hidden="1"/>
    <row r="83" hidden="1"/>
    <row r="84" hidden="1"/>
    <row r="85" hidden="1"/>
    <row r="86" hidden="1"/>
    <row r="87" hidden="1"/>
    <row r="88" hidden="1"/>
    <row r="89" hidden="1"/>
    <row r="90" hidden="1"/>
    <row r="91" hidden="1"/>
    <row r="92" hidden="1"/>
    <row r="93" hidden="1"/>
    <row r="94" hidden="1"/>
    <row r="95" hidden="1"/>
    <row r="96" hidden="1"/>
    <row r="97" hidden="1"/>
    <row r="98" hidden="1"/>
    <row r="99" hidden="1"/>
    <row r="100" hidden="1"/>
    <row r="101" hidden="1"/>
    <row r="102" hidden="1"/>
    <row r="103" hidden="1"/>
    <row r="104" hidden="1"/>
    <row r="105" hidden="1"/>
    <row r="106" hidden="1"/>
    <row r="107" hidden="1"/>
    <row r="108" hidden="1"/>
    <row r="109" hidden="1"/>
    <row r="110" hidden="1"/>
    <row r="111" hidden="1"/>
    <row r="112" hidden="1"/>
    <row r="113" hidden="1"/>
    <row r="114" hidden="1"/>
    <row r="115" hidden="1"/>
    <row r="116" hidden="1"/>
    <row r="117" hidden="1"/>
    <row r="118" hidden="1"/>
    <row r="119" hidden="1"/>
    <row r="120" hidden="1"/>
    <row r="121" hidden="1"/>
    <row r="122" hidden="1"/>
    <row r="123" hidden="1"/>
    <row r="124" hidden="1"/>
    <row r="125" hidden="1"/>
    <row r="126" hidden="1"/>
    <row r="127" hidden="1"/>
    <row r="128" hidden="1"/>
    <row r="129" hidden="1"/>
    <row r="130" hidden="1"/>
    <row r="131" hidden="1"/>
    <row r="132" hidden="1"/>
    <row r="133" hidden="1"/>
    <row r="134" hidden="1"/>
    <row r="135" hidden="1"/>
    <row r="136" hidden="1"/>
    <row r="137" hidden="1"/>
    <row r="138" hidden="1"/>
    <row r="139" hidden="1"/>
    <row r="140" hidden="1"/>
    <row r="141" hidden="1"/>
    <row r="142" hidden="1"/>
    <row r="143" hidden="1"/>
    <row r="144" hidden="1"/>
    <row r="145" hidden="1"/>
    <row r="146" hidden="1"/>
    <row r="147" hidden="1"/>
    <row r="148" hidden="1"/>
    <row r="149" hidden="1"/>
    <row r="150" hidden="1"/>
    <row r="151" hidden="1"/>
    <row r="152" hidden="1"/>
    <row r="153" hidden="1"/>
    <row r="154" hidden="1"/>
    <row r="155" hidden="1"/>
    <row r="156" hidden="1"/>
    <row r="157" hidden="1"/>
    <row r="158" hidden="1"/>
    <row r="159" hidden="1"/>
    <row r="160" hidden="1"/>
    <row r="161" hidden="1"/>
    <row r="162" hidden="1"/>
    <row r="163" hidden="1"/>
    <row r="164" hidden="1"/>
    <row r="165" hidden="1"/>
    <row r="166" hidden="1"/>
    <row r="167" hidden="1"/>
    <row r="168" hidden="1"/>
    <row r="169" hidden="1"/>
    <row r="170" hidden="1"/>
    <row r="171" hidden="1"/>
    <row r="172" hidden="1"/>
    <row r="173" hidden="1"/>
    <row r="174" hidden="1"/>
    <row r="175" hidden="1"/>
    <row r="176" hidden="1"/>
    <row r="177" hidden="1"/>
    <row r="178" hidden="1"/>
    <row r="179" hidden="1"/>
    <row r="180" hidden="1"/>
    <row r="181" hidden="1"/>
    <row r="182" hidden="1"/>
    <row r="183" hidden="1"/>
    <row r="184" hidden="1"/>
    <row r="185" hidden="1"/>
    <row r="186" hidden="1"/>
    <row r="187" hidden="1"/>
    <row r="188" hidden="1"/>
    <row r="189" hidden="1"/>
    <row r="190" hidden="1"/>
    <row r="191" hidden="1"/>
    <row r="192" hidden="1"/>
    <row r="193" hidden="1"/>
    <row r="194" hidden="1"/>
    <row r="195" hidden="1"/>
    <row r="196" hidden="1"/>
    <row r="197" hidden="1"/>
    <row r="198" hidden="1"/>
    <row r="199" hidden="1"/>
    <row r="200" hidden="1"/>
    <row r="201" hidden="1"/>
    <row r="202" hidden="1"/>
    <row r="203" hidden="1"/>
    <row r="204" hidden="1"/>
    <row r="205" hidden="1"/>
    <row r="206" hidden="1"/>
    <row r="207" hidden="1"/>
    <row r="208" hidden="1"/>
    <row r="209" hidden="1"/>
    <row r="210" hidden="1"/>
    <row r="211" hidden="1"/>
    <row r="212" hidden="1"/>
    <row r="213" hidden="1"/>
    <row r="214" hidden="1"/>
    <row r="215" hidden="1"/>
    <row r="216" hidden="1"/>
    <row r="217" hidden="1"/>
    <row r="218" hidden="1"/>
    <row r="219" hidden="1"/>
    <row r="220" hidden="1"/>
    <row r="221" hidden="1"/>
    <row r="222" hidden="1"/>
    <row r="223" hidden="1"/>
    <row r="224" hidden="1"/>
    <row r="225" hidden="1"/>
    <row r="226" hidden="1"/>
    <row r="227" hidden="1"/>
    <row r="228" hidden="1"/>
    <row r="229" hidden="1"/>
    <row r="230" hidden="1"/>
    <row r="231" hidden="1"/>
    <row r="232" hidden="1"/>
    <row r="233" hidden="1"/>
    <row r="234" hidden="1"/>
    <row r="235" hidden="1"/>
    <row r="236" hidden="1"/>
    <row r="237" hidden="1"/>
    <row r="238" hidden="1"/>
    <row r="239" hidden="1"/>
    <row r="240" hidden="1"/>
    <row r="241" hidden="1"/>
    <row r="242" hidden="1"/>
    <row r="243" hidden="1"/>
    <row r="244" hidden="1"/>
    <row r="245" hidden="1"/>
    <row r="246" hidden="1"/>
    <row r="247" hidden="1"/>
    <row r="248" hidden="1"/>
    <row r="249" hidden="1"/>
    <row r="250" hidden="1"/>
    <row r="251" hidden="1"/>
    <row r="252" hidden="1"/>
    <row r="253" hidden="1"/>
    <row r="254" hidden="1"/>
    <row r="255" hidden="1"/>
    <row r="256" hidden="1"/>
    <row r="257" hidden="1"/>
    <row r="258" hidden="1"/>
    <row r="259" hidden="1"/>
    <row r="260" hidden="1"/>
    <row r="261" hidden="1"/>
    <row r="262" hidden="1"/>
    <row r="263" hidden="1"/>
    <row r="264" hidden="1"/>
    <row r="265" hidden="1"/>
    <row r="266" hidden="1"/>
    <row r="267" hidden="1"/>
    <row r="268" hidden="1"/>
    <row r="269" hidden="1"/>
    <row r="270" hidden="1"/>
    <row r="271" hidden="1"/>
    <row r="272" hidden="1"/>
    <row r="273" hidden="1"/>
    <row r="274" hidden="1"/>
    <row r="275" hidden="1"/>
    <row r="276" hidden="1"/>
    <row r="277" hidden="1"/>
    <row r="278" hidden="1"/>
    <row r="279" hidden="1"/>
    <row r="280" hidden="1"/>
    <row r="281" hidden="1"/>
    <row r="282" hidden="1"/>
    <row r="283" hidden="1"/>
    <row r="284" hidden="1"/>
    <row r="285" hidden="1"/>
    <row r="286" hidden="1"/>
    <row r="287" hidden="1"/>
    <row r="288" hidden="1"/>
    <row r="289" hidden="1"/>
    <row r="290" hidden="1"/>
    <row r="291" hidden="1"/>
    <row r="292" hidden="1"/>
    <row r="293" hidden="1"/>
    <row r="294" hidden="1"/>
    <row r="295" hidden="1"/>
    <row r="296" hidden="1"/>
    <row r="297" hidden="1"/>
    <row r="298" hidden="1"/>
    <row r="299" hidden="1" spans="1:6">
      <c r="A299" s="6"/>
      <c r="B299" s="6"/>
      <c r="C299" s="49"/>
      <c r="F299" s="50"/>
    </row>
    <row r="300" spans="1:6">
      <c r="A300" s="51">
        <v>1</v>
      </c>
      <c r="B300" s="52" t="str">
        <f t="shared" ref="B300:B312" si="6">IFERROR(INDEX(B$1:B$95,MATCH(A300,A$1:A$95,0)),"")</f>
        <v>Kristel Tihhonjuk</v>
      </c>
      <c r="C300" s="53"/>
      <c r="F300" s="50"/>
    </row>
    <row r="301" spans="1:6">
      <c r="A301" s="51">
        <v>2</v>
      </c>
      <c r="B301" s="52" t="str">
        <f t="shared" si="6"/>
        <v>Meelis Luud</v>
      </c>
      <c r="C301" s="53"/>
      <c r="F301" s="50"/>
    </row>
    <row r="302" spans="1:6">
      <c r="A302" s="51">
        <v>3</v>
      </c>
      <c r="B302" s="52" t="str">
        <f t="shared" si="6"/>
        <v>Peep Peenema</v>
      </c>
      <c r="C302" s="53"/>
      <c r="F302" s="50"/>
    </row>
    <row r="303" spans="1:6">
      <c r="A303" s="51">
        <v>4</v>
      </c>
      <c r="B303" s="52" t="str">
        <f t="shared" si="6"/>
        <v>Jaan Saar</v>
      </c>
      <c r="C303" s="53"/>
      <c r="F303" s="50"/>
    </row>
    <row r="304" spans="1:6">
      <c r="A304" s="51">
        <v>5</v>
      </c>
      <c r="B304" s="52" t="str">
        <f t="shared" si="6"/>
        <v>Jüri Mitt</v>
      </c>
      <c r="C304" s="53"/>
      <c r="F304" s="50"/>
    </row>
    <row r="305" spans="1:6">
      <c r="A305" s="51">
        <v>6</v>
      </c>
      <c r="B305" s="52" t="str">
        <f t="shared" si="6"/>
        <v>Vadim Tihhonjuk</v>
      </c>
      <c r="C305" s="53"/>
      <c r="F305" s="50"/>
    </row>
    <row r="306" spans="1:6">
      <c r="A306" s="51">
        <v>7</v>
      </c>
      <c r="B306" s="52" t="str">
        <f t="shared" si="6"/>
        <v>Aulis Paal</v>
      </c>
      <c r="C306" s="53"/>
      <c r="F306" s="50"/>
    </row>
    <row r="307" spans="1:6">
      <c r="A307" s="51">
        <v>8</v>
      </c>
      <c r="B307" s="52" t="str">
        <f t="shared" si="6"/>
        <v>Andrei Grintšak</v>
      </c>
      <c r="C307" s="53"/>
      <c r="F307" s="50"/>
    </row>
    <row r="308" spans="1:6">
      <c r="A308" s="51">
        <v>9</v>
      </c>
      <c r="B308" s="52" t="str">
        <f t="shared" si="6"/>
        <v>Enn Tokman</v>
      </c>
      <c r="C308" s="53"/>
      <c r="F308" s="50"/>
    </row>
    <row r="309" spans="1:3">
      <c r="A309" s="51">
        <v>10</v>
      </c>
      <c r="B309" s="52" t="str">
        <f t="shared" si="6"/>
        <v>Kenneth Muusikus</v>
      </c>
      <c r="C309" s="53"/>
    </row>
    <row r="310" spans="1:3">
      <c r="A310" s="51">
        <v>11</v>
      </c>
      <c r="B310" s="52" t="str">
        <f t="shared" si="6"/>
        <v>Väino Aul</v>
      </c>
      <c r="C310" s="53"/>
    </row>
    <row r="311" spans="1:3">
      <c r="A311" s="51">
        <v>12</v>
      </c>
      <c r="B311" s="52" t="str">
        <f t="shared" si="6"/>
        <v>Tarmo Bombe</v>
      </c>
      <c r="C311" s="53"/>
    </row>
    <row r="312" spans="3:3">
      <c r="C312" s="53"/>
    </row>
    <row r="313" spans="3:3">
      <c r="C313" s="53"/>
    </row>
    <row r="314" spans="3:3">
      <c r="C314" s="53"/>
    </row>
    <row r="315" spans="3:3">
      <c r="C315" s="53"/>
    </row>
    <row r="316" spans="3:3">
      <c r="C316" s="53"/>
    </row>
    <row r="317" spans="3:3">
      <c r="C317" s="53"/>
    </row>
    <row r="318" spans="3:3">
      <c r="C318" s="53"/>
    </row>
    <row r="319" spans="3:3">
      <c r="C319" s="53"/>
    </row>
  </sheetData>
  <conditionalFormatting sqref="A7:A18">
    <cfRule type="duplicateValues" dxfId="17" priority="42"/>
  </conditionalFormatting>
  <conditionalFormatting sqref="B300:B311">
    <cfRule type="expression" dxfId="3" priority="48">
      <formula>A300=3</formula>
    </cfRule>
    <cfRule type="expression" dxfId="4" priority="49">
      <formula>A300=2</formula>
    </cfRule>
    <cfRule type="expression" dxfId="18" priority="50">
      <formula>A300=1</formula>
    </cfRule>
    <cfRule type="containsBlanks" dxfId="19" priority="51">
      <formula>LEN(TRIM(B300))=0</formula>
    </cfRule>
    <cfRule type="duplicateValues" dxfId="8" priority="52"/>
  </conditionalFormatting>
  <conditionalFormatting sqref="C7:C18">
    <cfRule type="expression" dxfId="20" priority="24">
      <formula>IF($C7&gt;$E7,TRUE)</formula>
    </cfRule>
  </conditionalFormatting>
  <conditionalFormatting sqref="E7:E18">
    <cfRule type="expression" dxfId="20" priority="25">
      <formula>IF($C7&lt;$E7,TRUE)</formula>
    </cfRule>
  </conditionalFormatting>
  <conditionalFormatting sqref="F7:F18">
    <cfRule type="containsText" dxfId="21" priority="15" operator="between" text="vaba voor">
      <formula>NOT(ISERROR(SEARCH("vaba voor",F7)))</formula>
    </cfRule>
  </conditionalFormatting>
  <conditionalFormatting sqref="G7:G18">
    <cfRule type="expression" dxfId="20" priority="28">
      <formula>IF($G7&gt;$I7,TRUE)</formula>
    </cfRule>
  </conditionalFormatting>
  <conditionalFormatting sqref="I7:I18">
    <cfRule type="expression" dxfId="20" priority="29">
      <formula>IF($G7&lt;$I7,TRUE)</formula>
    </cfRule>
  </conditionalFormatting>
  <conditionalFormatting sqref="J7:J18">
    <cfRule type="containsText" dxfId="21" priority="14" operator="between" text="vaba voor">
      <formula>NOT(ISERROR(SEARCH("vaba voor",J7)))</formula>
    </cfRule>
  </conditionalFormatting>
  <conditionalFormatting sqref="K7:K18">
    <cfRule type="expression" dxfId="20" priority="32">
      <formula>IF($K7&gt;$M7,TRUE)</formula>
    </cfRule>
  </conditionalFormatting>
  <conditionalFormatting sqref="M7:M18">
    <cfRule type="expression" dxfId="20" priority="33">
      <formula>IF($K7&lt;$M7,TRUE)</formula>
    </cfRule>
  </conditionalFormatting>
  <conditionalFormatting sqref="N7:N18">
    <cfRule type="containsText" dxfId="21" priority="13" operator="between" text="vaba voor">
      <formula>NOT(ISERROR(SEARCH("vaba voor",N7)))</formula>
    </cfRule>
  </conditionalFormatting>
  <conditionalFormatting sqref="O7:O18">
    <cfRule type="expression" dxfId="20" priority="36">
      <formula>IF($O7&gt;$Q7,TRUE)</formula>
    </cfRule>
  </conditionalFormatting>
  <conditionalFormatting sqref="Q7:Q18">
    <cfRule type="expression" dxfId="20" priority="37">
      <formula>IF($O7&lt;$Q7,TRUE)</formula>
    </cfRule>
  </conditionalFormatting>
  <conditionalFormatting sqref="R7:R18">
    <cfRule type="containsText" dxfId="21" priority="16" operator="between" text="vaba voor">
      <formula>NOT(ISERROR(SEARCH("vaba voor",R7)))</formula>
    </cfRule>
  </conditionalFormatting>
  <conditionalFormatting sqref="S7:S18">
    <cfRule type="expression" dxfId="20" priority="40">
      <formula>IF($S7&gt;$U7,TRUE)</formula>
    </cfRule>
  </conditionalFormatting>
  <conditionalFormatting sqref="U7:U18">
    <cfRule type="expression" dxfId="20" priority="41">
      <formula>IF($S7&lt;$U7,TRUE)</formula>
    </cfRule>
  </conditionalFormatting>
  <conditionalFormatting sqref="V7:V18">
    <cfRule type="containsText" dxfId="21" priority="12" operator="between" text="vaba voor">
      <formula>NOT(ISERROR(SEARCH("vaba voor",V7)))</formula>
    </cfRule>
  </conditionalFormatting>
  <conditionalFormatting sqref="W7:W18">
    <cfRule type="expression" dxfId="20" priority="7">
      <formula>IF($S7&gt;$U7,TRUE)</formula>
    </cfRule>
    <cfRule type="expression" dxfId="24" priority="1">
      <formula>AND(W7=0,Y7=13)</formula>
    </cfRule>
  </conditionalFormatting>
  <conditionalFormatting sqref="Y7:Y18">
    <cfRule type="expression" dxfId="20" priority="8">
      <formula>IF($S7&lt;$U7,TRUE)</formula>
    </cfRule>
    <cfRule type="expression" dxfId="24" priority="2">
      <formula>AND(Y7=0,W7=13)</formula>
    </cfRule>
  </conditionalFormatting>
  <conditionalFormatting sqref="Z7:Z18">
    <cfRule type="containsText" dxfId="21" priority="3" operator="between" text="vaba voor">
      <formula>NOT(ISERROR(SEARCH("vaba voor",Z7)))</formula>
    </cfRule>
  </conditionalFormatting>
  <conditionalFormatting sqref="AI7:AI18">
    <cfRule type="expression" dxfId="22" priority="9">
      <formula>AND(AJ7="",COUNTIF(AI7,"*,*")=0)</formula>
    </cfRule>
  </conditionalFormatting>
  <conditionalFormatting sqref="AJ7:AJ18">
    <cfRule type="expression" dxfId="22" priority="46">
      <formula>AND(AI7="",COUNTIF(AJ7,"*,*")=0)</formula>
    </cfRule>
  </conditionalFormatting>
  <conditionalFormatting sqref="C7:F18">
    <cfRule type="expression" dxfId="5" priority="20">
      <formula>IF(AND(ISNUMBER($C7),$C7=$E7),TRUE)</formula>
    </cfRule>
    <cfRule type="expression" dxfId="7" priority="22">
      <formula>IF($C7&gt;$E7,TRUE)</formula>
    </cfRule>
    <cfRule type="expression" dxfId="23" priority="23">
      <formula>IF($C7&lt;$E7,TRUE)</formula>
    </cfRule>
  </conditionalFormatting>
  <conditionalFormatting sqref="C7:C18;G7:G18;K7:K18;O7:O18;S7:S18">
    <cfRule type="expression" dxfId="24" priority="10">
      <formula>AND(C7=0,E7=13)</formula>
    </cfRule>
  </conditionalFormatting>
  <conditionalFormatting sqref="E7:E18;I7:I18;M7:M18;Q7:Q18;U7:U18">
    <cfRule type="expression" dxfId="24" priority="11">
      <formula>AND(E7=0,C7=13)</formula>
    </cfRule>
  </conditionalFormatting>
  <conditionalFormatting sqref="G7:J18">
    <cfRule type="expression" dxfId="5" priority="21">
      <formula>IF(AND(ISNUMBER($G7),$G7=$I7),TRUE)</formula>
    </cfRule>
    <cfRule type="expression" dxfId="7" priority="26">
      <formula>IF($G7&gt;$I7,TRUE)</formula>
    </cfRule>
    <cfRule type="expression" dxfId="23" priority="27">
      <formula>IF($G7&lt;$I7,TRUE)</formula>
    </cfRule>
  </conditionalFormatting>
  <conditionalFormatting sqref="K7:N18">
    <cfRule type="expression" dxfId="5" priority="19">
      <formula>IF(AND(ISNUMBER($K7),$K7=$M7),TRUE)</formula>
    </cfRule>
    <cfRule type="expression" dxfId="7" priority="30">
      <formula>IF($K7&gt;$M7,TRUE)</formula>
    </cfRule>
    <cfRule type="expression" dxfId="23" priority="31">
      <formula>IF($K7&lt;$M7,TRUE)</formula>
    </cfRule>
  </conditionalFormatting>
  <conditionalFormatting sqref="O7:R18">
    <cfRule type="expression" dxfId="5" priority="18">
      <formula>IF(AND(ISNUMBER($O7),$O7=$Q7),TRUE)</formula>
    </cfRule>
    <cfRule type="expression" dxfId="7" priority="34">
      <formula>IF($O7&gt;$Q7,TRUE)</formula>
    </cfRule>
    <cfRule type="expression" dxfId="23" priority="35">
      <formula>IF($O7&lt;$Q7,TRUE)</formula>
    </cfRule>
  </conditionalFormatting>
  <conditionalFormatting sqref="S7:V18">
    <cfRule type="expression" dxfId="5" priority="17">
      <formula>IF(AND(ISNUMBER($S7),$S7=$U7),TRUE)</formula>
    </cfRule>
    <cfRule type="expression" dxfId="7" priority="38">
      <formula>IF($S7&gt;$U7,TRUE)</formula>
    </cfRule>
    <cfRule type="expression" dxfId="23" priority="39">
      <formula>IF($S7&lt;$U7,TRUE)</formula>
    </cfRule>
  </conditionalFormatting>
  <conditionalFormatting sqref="W7:Z18">
    <cfRule type="expression" dxfId="5" priority="4">
      <formula>IF(AND(ISNUMBER($S7),$S7=$U7),TRUE)</formula>
    </cfRule>
    <cfRule type="expression" dxfId="7" priority="5">
      <formula>IF($S7&gt;$U7,TRUE)</formula>
    </cfRule>
    <cfRule type="expression" dxfId="23" priority="6">
      <formula>IF($S7&lt;$U7,TRUE)</formula>
    </cfRule>
  </conditionalFormatting>
  <pageMargins left="0.393700787401575" right="0.393700787401575" top="0.78740157480315" bottom="0.393700787401575" header="0.78740157480315" footer="0"/>
  <pageSetup paperSize="9" fitToHeight="0" orientation="landscape" verticalDpi="1200"/>
  <headerFooter>
    <oddHeader>&amp;R&amp;P. leht &amp;N&amp; -st</oddHeader>
  </headerFooter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0" tint="-0.25"/>
    <pageSetUpPr fitToPage="1"/>
  </sheetPr>
  <dimension ref="A1:AF319"/>
  <sheetViews>
    <sheetView showGridLines="0" showRowColHeaders="0" workbookViewId="0">
      <pane ySplit="1" topLeftCell="A2" activePane="bottomLeft" state="frozen"/>
      <selection/>
      <selection pane="bottomLeft" activeCell="B26" sqref="B26"/>
    </sheetView>
  </sheetViews>
  <sheetFormatPr defaultColWidth="9" defaultRowHeight="12.3"/>
  <cols>
    <col min="1" max="1" width="3.28828828828829" style="3" customWidth="1"/>
    <col min="2" max="2" width="16.5675675675676" style="3" customWidth="1"/>
    <col min="3" max="3" width="4.71171171171171" style="3" customWidth="1"/>
    <col min="4" max="4" width="1.14414414414414" style="3" customWidth="1"/>
    <col min="5" max="5" width="2.71171171171171" style="3" customWidth="1"/>
    <col min="6" max="6" width="9.14414414414414" style="3"/>
    <col min="7" max="7" width="2.71171171171171" style="3" customWidth="1"/>
    <col min="8" max="8" width="1.14414414414414" style="3" customWidth="1"/>
    <col min="9" max="9" width="2.71171171171171" style="3" customWidth="1"/>
    <col min="10" max="10" width="9.14414414414414" style="3"/>
    <col min="11" max="11" width="2.71171171171171" style="3" customWidth="1"/>
    <col min="12" max="12" width="1.14414414414414" style="3" customWidth="1"/>
    <col min="13" max="13" width="2.71171171171171" style="3" customWidth="1"/>
    <col min="14" max="14" width="9.14414414414414" style="3"/>
    <col min="15" max="15" width="2.71171171171171" style="3" customWidth="1"/>
    <col min="16" max="16" width="1.14414414414414" style="3" customWidth="1"/>
    <col min="17" max="17" width="2.71171171171171" style="3" customWidth="1"/>
    <col min="18" max="18" width="9.14414414414414" style="3"/>
    <col min="19" max="19" width="2.71171171171171" style="3" customWidth="1"/>
    <col min="20" max="20" width="1.14414414414414" style="3" customWidth="1"/>
    <col min="21" max="21" width="2.71171171171171" style="3" customWidth="1"/>
    <col min="22" max="22" width="9.14414414414414" style="3" customWidth="1"/>
    <col min="23" max="23" width="5.71171171171171" style="3" customWidth="1"/>
    <col min="24" max="24" width="5.56756756756757" style="3" customWidth="1"/>
    <col min="25" max="25" width="7.42342342342342" style="3" customWidth="1"/>
    <col min="26" max="26" width="2.71171171171171" style="3" customWidth="1"/>
    <col min="27" max="27" width="1.14414414414414" style="3" customWidth="1"/>
    <col min="28" max="28" width="2.71171171171171" style="3" customWidth="1"/>
    <col min="29" max="29" width="4.71171171171171" style="3" customWidth="1"/>
    <col min="30" max="30" width="9.14414414414414" style="3" hidden="1" customWidth="1"/>
    <col min="31" max="31" width="16.5675675675676" style="3" hidden="1" customWidth="1"/>
    <col min="32" max="32" width="7.85585585585586" style="3" hidden="1" customWidth="1"/>
    <col min="33" max="16384" width="9.14414414414414" style="3"/>
  </cols>
  <sheetData>
    <row r="1" spans="1:32">
      <c r="A1" s="4" t="str">
        <f>UPPER((Kalend!E18)&amp;" - "&amp;(Kalend!C18))&amp;" - "&amp;LOWER(Kalend!D18)&amp;" - "&amp;(Kalend!A18)&amp;" kell "&amp;(Kalend!B18)&amp;" - "&amp;(Kalend!F18)</f>
        <v>M - 3. MAIDU KARIKAS. TŠAKA HOPP! - üksik - P, 14.07.2024 kell 10:00 - K-Järve spordihoone</v>
      </c>
      <c r="O1" s="6"/>
      <c r="P1" s="6"/>
      <c r="Q1" s="20"/>
      <c r="R1" s="20"/>
      <c r="S1" s="20"/>
      <c r="T1" s="21"/>
      <c r="U1" s="21"/>
      <c r="V1" s="21"/>
      <c r="W1" s="6"/>
      <c r="X1" s="22"/>
      <c r="Y1" s="6"/>
      <c r="Z1" s="6"/>
      <c r="AD1" s="30" t="s">
        <v>149</v>
      </c>
      <c r="AE1" s="31"/>
      <c r="AF1" s="31"/>
    </row>
    <row r="2" spans="1:31">
      <c r="A2" s="5"/>
      <c r="F2" s="6"/>
      <c r="L2" s="19"/>
      <c r="M2" s="19"/>
      <c r="N2" s="19"/>
      <c r="O2" s="6"/>
      <c r="P2" s="6"/>
      <c r="Q2" s="6"/>
      <c r="S2" s="6"/>
      <c r="T2" s="19"/>
      <c r="U2" s="19"/>
      <c r="V2" s="23" t="s">
        <v>322</v>
      </c>
      <c r="W2" s="24">
        <v>1</v>
      </c>
      <c r="X2" s="6" t="s">
        <v>323</v>
      </c>
      <c r="Y2" s="6"/>
      <c r="Z2" s="6"/>
      <c r="AA2" s="6"/>
      <c r="AB2" s="6"/>
      <c r="AE2" s="6"/>
    </row>
    <row r="3" spans="1:32">
      <c r="A3" s="5"/>
      <c r="F3" s="6"/>
      <c r="L3" s="6"/>
      <c r="M3" s="6"/>
      <c r="N3" s="6"/>
      <c r="O3" s="6"/>
      <c r="P3" s="6"/>
      <c r="Q3" s="6"/>
      <c r="S3" s="6"/>
      <c r="T3" s="6"/>
      <c r="U3" s="6"/>
      <c r="V3" s="25" t="s">
        <v>324</v>
      </c>
      <c r="W3" s="24">
        <v>0.5</v>
      </c>
      <c r="X3" s="6" t="s">
        <v>325</v>
      </c>
      <c r="Y3" s="6"/>
      <c r="Z3" s="6"/>
      <c r="AA3" s="6"/>
      <c r="AB3" s="6"/>
      <c r="AD3" s="54" t="s">
        <v>328</v>
      </c>
      <c r="AE3" s="1"/>
      <c r="AF3" s="55"/>
    </row>
    <row r="4" spans="6:32">
      <c r="F4" s="6"/>
      <c r="L4" s="6"/>
      <c r="M4" s="6"/>
      <c r="N4" s="6"/>
      <c r="O4" s="6"/>
      <c r="P4" s="6"/>
      <c r="Q4" s="6"/>
      <c r="S4" s="6"/>
      <c r="T4" s="6"/>
      <c r="U4" s="6"/>
      <c r="V4" s="26" t="s">
        <v>326</v>
      </c>
      <c r="W4" s="24">
        <v>0</v>
      </c>
      <c r="X4" s="6" t="s">
        <v>325</v>
      </c>
      <c r="Y4" s="6"/>
      <c r="Z4" s="6"/>
      <c r="AA4" s="6"/>
      <c r="AB4" s="6"/>
      <c r="AD4" s="56" t="s">
        <v>396</v>
      </c>
      <c r="AE4" s="57" t="s">
        <v>180</v>
      </c>
      <c r="AF4" s="58"/>
    </row>
    <row r="5" spans="6:32">
      <c r="F5" s="6"/>
      <c r="L5" s="6"/>
      <c r="M5" s="6"/>
      <c r="N5" s="6"/>
      <c r="O5" s="6"/>
      <c r="P5" s="6"/>
      <c r="Q5" s="6"/>
      <c r="R5" s="6"/>
      <c r="S5" s="6"/>
      <c r="T5" s="6"/>
      <c r="U5" s="6"/>
      <c r="W5" s="6"/>
      <c r="X5" s="6"/>
      <c r="Y5" s="6"/>
      <c r="Z5" s="6"/>
      <c r="AA5" s="6"/>
      <c r="AB5" s="32" t="s">
        <v>327</v>
      </c>
      <c r="AD5" s="56" t="s">
        <v>397</v>
      </c>
      <c r="AE5" s="1"/>
      <c r="AF5" s="57"/>
    </row>
    <row r="6" spans="1:32">
      <c r="A6" s="7" t="s">
        <v>329</v>
      </c>
      <c r="B6" s="7" t="s">
        <v>180</v>
      </c>
      <c r="C6" s="8" t="s">
        <v>330</v>
      </c>
      <c r="D6" s="9"/>
      <c r="E6" s="9"/>
      <c r="F6" s="10"/>
      <c r="G6" s="8" t="s">
        <v>331</v>
      </c>
      <c r="H6" s="9"/>
      <c r="I6" s="9"/>
      <c r="J6" s="10"/>
      <c r="K6" s="8" t="s">
        <v>332</v>
      </c>
      <c r="L6" s="9"/>
      <c r="M6" s="9"/>
      <c r="N6" s="10"/>
      <c r="O6" s="8" t="s">
        <v>333</v>
      </c>
      <c r="P6" s="9"/>
      <c r="Q6" s="9"/>
      <c r="R6" s="10"/>
      <c r="S6" s="8" t="s">
        <v>334</v>
      </c>
      <c r="T6" s="9"/>
      <c r="U6" s="9"/>
      <c r="V6" s="10"/>
      <c r="W6" s="7" t="s">
        <v>162</v>
      </c>
      <c r="X6" s="27" t="s">
        <v>335</v>
      </c>
      <c r="Y6" s="7" t="s">
        <v>336</v>
      </c>
      <c r="Z6" s="27"/>
      <c r="AA6" s="34" t="s">
        <v>337</v>
      </c>
      <c r="AB6" s="35"/>
      <c r="AC6" s="36" t="s">
        <v>338</v>
      </c>
      <c r="AD6" s="59"/>
      <c r="AE6" s="58"/>
      <c r="AF6" s="58"/>
    </row>
    <row r="7" spans="1:32">
      <c r="A7" s="11">
        <v>1</v>
      </c>
      <c r="B7" s="12" t="s">
        <v>197</v>
      </c>
      <c r="C7" s="13">
        <v>13</v>
      </c>
      <c r="D7" s="14" t="s">
        <v>346</v>
      </c>
      <c r="E7" s="14">
        <v>12</v>
      </c>
      <c r="F7" s="15" t="s">
        <v>214</v>
      </c>
      <c r="G7" s="13">
        <v>13</v>
      </c>
      <c r="H7" s="14" t="s">
        <v>346</v>
      </c>
      <c r="I7" s="14">
        <v>6</v>
      </c>
      <c r="J7" s="15" t="s">
        <v>199</v>
      </c>
      <c r="K7" s="13">
        <v>13</v>
      </c>
      <c r="L7" s="14" t="s">
        <v>346</v>
      </c>
      <c r="M7" s="14">
        <v>10</v>
      </c>
      <c r="N7" s="15" t="s">
        <v>222</v>
      </c>
      <c r="O7" s="13">
        <v>13</v>
      </c>
      <c r="P7" s="14" t="s">
        <v>346</v>
      </c>
      <c r="Q7" s="14">
        <v>9</v>
      </c>
      <c r="R7" s="15" t="s">
        <v>205</v>
      </c>
      <c r="S7" s="13">
        <v>13</v>
      </c>
      <c r="T7" s="14" t="s">
        <v>346</v>
      </c>
      <c r="U7" s="14">
        <v>1</v>
      </c>
      <c r="V7" s="15" t="s">
        <v>398</v>
      </c>
      <c r="W7" s="28">
        <f t="shared" ref="W7:W19" si="0">IF(C7&gt;E7,W$2,IF(C7&lt;E7,W$4,IF(ISNUMBER(C7),W$3,0)))+IF(G7&gt;I7,W$2,IF(G7&lt;I7,W$4,IF(ISNUMBER(G7),W$3,0)))+IF(K7&gt;M7,W$2,IF(K7&lt;M7,W$4,IF(ISNUMBER(K7),W$3,0)))+IF(O7&gt;Q7,W$2,IF(O7&lt;Q7,W$4,IF(ISNUMBER(O7),W$3,0)))+IF(S7&gt;U7,W$2,IF(S7&lt;U7,W$4,IF(ISNUMBER(S7),W$3,0)))</f>
        <v>5</v>
      </c>
      <c r="X7" s="29">
        <v>22</v>
      </c>
      <c r="Y7" s="29">
        <v>82</v>
      </c>
      <c r="Z7" s="13">
        <f t="shared" ref="Z7:Z19" si="1">C7+G7+K7+O7+S7</f>
        <v>65</v>
      </c>
      <c r="AA7" s="14" t="s">
        <v>346</v>
      </c>
      <c r="AB7" s="39">
        <f t="shared" ref="AB7:AB19" si="2">E7+I7+M7+Q7+U7</f>
        <v>38</v>
      </c>
      <c r="AC7" s="40">
        <f t="shared" ref="AC7:AC19" si="3">Z7-AB7</f>
        <v>27</v>
      </c>
      <c r="AD7" s="60">
        <f t="shared" ref="AD7:AD15" si="4">SUM(AF7:AF7)</f>
        <v>148</v>
      </c>
      <c r="AE7" s="61" t="str">
        <f>$B7</f>
        <v>Olav Türk</v>
      </c>
      <c r="AF7" s="62">
        <f>IFERROR(INDEX(V!$R:$R,MATCH(AE7,V!$L:$L,0)),"")</f>
        <v>148</v>
      </c>
    </row>
    <row r="8" spans="1:32">
      <c r="A8" s="11">
        <v>2</v>
      </c>
      <c r="B8" s="16" t="s">
        <v>222</v>
      </c>
      <c r="C8" s="13">
        <v>13</v>
      </c>
      <c r="D8" s="14" t="s">
        <v>346</v>
      </c>
      <c r="E8" s="14">
        <v>9</v>
      </c>
      <c r="F8" s="15" t="s">
        <v>192</v>
      </c>
      <c r="G8" s="13">
        <v>13</v>
      </c>
      <c r="H8" s="14" t="s">
        <v>346</v>
      </c>
      <c r="I8" s="14">
        <v>5</v>
      </c>
      <c r="J8" s="15" t="s">
        <v>248</v>
      </c>
      <c r="K8" s="13">
        <v>10</v>
      </c>
      <c r="L8" s="14" t="s">
        <v>346</v>
      </c>
      <c r="M8" s="14">
        <v>13</v>
      </c>
      <c r="N8" s="15" t="s">
        <v>197</v>
      </c>
      <c r="O8" s="13">
        <v>13</v>
      </c>
      <c r="P8" s="14" t="s">
        <v>346</v>
      </c>
      <c r="Q8" s="14">
        <v>11</v>
      </c>
      <c r="R8" s="15" t="s">
        <v>199</v>
      </c>
      <c r="S8" s="13">
        <v>13</v>
      </c>
      <c r="T8" s="14" t="s">
        <v>346</v>
      </c>
      <c r="U8" s="14">
        <v>5</v>
      </c>
      <c r="V8" s="15" t="s">
        <v>210</v>
      </c>
      <c r="W8" s="28">
        <f t="shared" si="0"/>
        <v>4</v>
      </c>
      <c r="X8" s="29">
        <v>22</v>
      </c>
      <c r="Y8" s="29">
        <v>78</v>
      </c>
      <c r="Z8" s="13">
        <f t="shared" si="1"/>
        <v>62</v>
      </c>
      <c r="AA8" s="14" t="s">
        <v>346</v>
      </c>
      <c r="AB8" s="39">
        <f t="shared" si="2"/>
        <v>43</v>
      </c>
      <c r="AC8" s="40">
        <f t="shared" si="3"/>
        <v>19</v>
      </c>
      <c r="AD8" s="60">
        <f t="shared" si="4"/>
        <v>70</v>
      </c>
      <c r="AE8" s="61" t="str">
        <f t="shared" ref="AE8:AE26" si="5">$B8</f>
        <v>Viktor Švarõgin</v>
      </c>
      <c r="AF8" s="62">
        <f>IFERROR(INDEX(V!$R:$R,MATCH(AE8,V!$L:$L,0)),"")</f>
        <v>70</v>
      </c>
    </row>
    <row r="9" spans="1:32">
      <c r="A9" s="11">
        <v>3</v>
      </c>
      <c r="B9" s="17" t="s">
        <v>205</v>
      </c>
      <c r="C9" s="13">
        <v>13</v>
      </c>
      <c r="D9" s="14" t="s">
        <v>346</v>
      </c>
      <c r="E9" s="14">
        <v>5</v>
      </c>
      <c r="F9" s="15" t="s">
        <v>209</v>
      </c>
      <c r="G9" s="13">
        <v>13</v>
      </c>
      <c r="H9" s="14" t="s">
        <v>346</v>
      </c>
      <c r="I9" s="14">
        <v>8</v>
      </c>
      <c r="J9" s="15" t="s">
        <v>64</v>
      </c>
      <c r="K9" s="13">
        <v>13</v>
      </c>
      <c r="L9" s="14" t="s">
        <v>346</v>
      </c>
      <c r="M9" s="14">
        <v>9</v>
      </c>
      <c r="N9" s="15" t="s">
        <v>195</v>
      </c>
      <c r="O9" s="13">
        <v>9</v>
      </c>
      <c r="P9" s="14" t="s">
        <v>346</v>
      </c>
      <c r="Q9" s="14">
        <v>13</v>
      </c>
      <c r="R9" s="15" t="s">
        <v>197</v>
      </c>
      <c r="S9" s="13">
        <v>13</v>
      </c>
      <c r="T9" s="14" t="s">
        <v>346</v>
      </c>
      <c r="U9" s="14">
        <v>9</v>
      </c>
      <c r="V9" s="15" t="s">
        <v>197</v>
      </c>
      <c r="W9" s="28">
        <f t="shared" si="0"/>
        <v>4</v>
      </c>
      <c r="X9" s="29">
        <v>20</v>
      </c>
      <c r="Y9" s="29">
        <v>74</v>
      </c>
      <c r="Z9" s="13">
        <f t="shared" si="1"/>
        <v>61</v>
      </c>
      <c r="AA9" s="14" t="s">
        <v>346</v>
      </c>
      <c r="AB9" s="39">
        <f t="shared" si="2"/>
        <v>44</v>
      </c>
      <c r="AC9" s="40">
        <f t="shared" si="3"/>
        <v>17</v>
      </c>
      <c r="AD9" s="60">
        <f t="shared" si="4"/>
        <v>112</v>
      </c>
      <c r="AE9" s="61" t="str">
        <f t="shared" si="5"/>
        <v>Jaan Sepp</v>
      </c>
      <c r="AF9" s="62">
        <f>IFERROR(INDEX(V!$R:$R,MATCH(AE9,V!$L:$L,0)),"")</f>
        <v>112</v>
      </c>
    </row>
    <row r="10" spans="1:32">
      <c r="A10" s="11">
        <v>4</v>
      </c>
      <c r="B10" s="17" t="s">
        <v>214</v>
      </c>
      <c r="C10" s="13">
        <v>12</v>
      </c>
      <c r="D10" s="14" t="s">
        <v>346</v>
      </c>
      <c r="E10" s="14">
        <v>13</v>
      </c>
      <c r="F10" s="15" t="s">
        <v>197</v>
      </c>
      <c r="G10" s="13">
        <v>13</v>
      </c>
      <c r="H10" s="14" t="s">
        <v>346</v>
      </c>
      <c r="I10" s="14">
        <v>6</v>
      </c>
      <c r="J10" s="15" t="s">
        <v>201</v>
      </c>
      <c r="K10" s="13">
        <v>13</v>
      </c>
      <c r="L10" s="14" t="s">
        <v>346</v>
      </c>
      <c r="M10" s="14">
        <v>7</v>
      </c>
      <c r="N10" s="15" t="s">
        <v>212</v>
      </c>
      <c r="O10" s="13">
        <v>13</v>
      </c>
      <c r="P10" s="14" t="s">
        <v>346</v>
      </c>
      <c r="Q10" s="14">
        <v>9</v>
      </c>
      <c r="R10" s="15" t="s">
        <v>195</v>
      </c>
      <c r="S10" s="13">
        <v>13</v>
      </c>
      <c r="T10" s="14" t="s">
        <v>346</v>
      </c>
      <c r="U10" s="14">
        <v>9</v>
      </c>
      <c r="V10" s="15" t="s">
        <v>399</v>
      </c>
      <c r="W10" s="28">
        <f t="shared" si="0"/>
        <v>4</v>
      </c>
      <c r="X10" s="29">
        <v>18</v>
      </c>
      <c r="Y10" s="29">
        <v>68</v>
      </c>
      <c r="Z10" s="13">
        <f t="shared" si="1"/>
        <v>64</v>
      </c>
      <c r="AA10" s="14" t="s">
        <v>346</v>
      </c>
      <c r="AB10" s="39">
        <f t="shared" si="2"/>
        <v>44</v>
      </c>
      <c r="AC10" s="40">
        <f t="shared" si="3"/>
        <v>20</v>
      </c>
      <c r="AD10" s="60">
        <f t="shared" si="4"/>
        <v>86</v>
      </c>
      <c r="AE10" s="61" t="str">
        <f t="shared" si="5"/>
        <v>Kenneth Muusikus</v>
      </c>
      <c r="AF10" s="62">
        <f>IFERROR(INDEX(V!$R:$R,MATCH(AE10,V!$L:$L,0)),"")</f>
        <v>86</v>
      </c>
    </row>
    <row r="11" spans="1:32">
      <c r="A11" s="11">
        <v>5</v>
      </c>
      <c r="B11" s="16" t="s">
        <v>248</v>
      </c>
      <c r="C11" s="13">
        <v>13</v>
      </c>
      <c r="D11" s="14" t="s">
        <v>346</v>
      </c>
      <c r="E11" s="14">
        <v>3</v>
      </c>
      <c r="F11" s="15" t="s">
        <v>202</v>
      </c>
      <c r="G11" s="13">
        <v>5</v>
      </c>
      <c r="H11" s="14" t="s">
        <v>346</v>
      </c>
      <c r="I11" s="14">
        <v>13</v>
      </c>
      <c r="J11" s="15" t="s">
        <v>222</v>
      </c>
      <c r="K11" s="13">
        <v>12</v>
      </c>
      <c r="L11" s="14" t="s">
        <v>346</v>
      </c>
      <c r="M11" s="14">
        <v>11</v>
      </c>
      <c r="N11" s="15" t="s">
        <v>206</v>
      </c>
      <c r="O11" s="13">
        <v>13</v>
      </c>
      <c r="P11" s="14" t="s">
        <v>346</v>
      </c>
      <c r="Q11" s="14">
        <v>6</v>
      </c>
      <c r="R11" s="15" t="s">
        <v>64</v>
      </c>
      <c r="S11" s="13">
        <v>5</v>
      </c>
      <c r="T11" s="14" t="s">
        <v>346</v>
      </c>
      <c r="U11" s="14">
        <v>13</v>
      </c>
      <c r="V11" s="15" t="s">
        <v>225</v>
      </c>
      <c r="W11" s="28">
        <f t="shared" si="0"/>
        <v>3</v>
      </c>
      <c r="X11" s="29">
        <v>16</v>
      </c>
      <c r="Y11" s="29">
        <v>70</v>
      </c>
      <c r="Z11" s="13">
        <f t="shared" si="1"/>
        <v>48</v>
      </c>
      <c r="AA11" s="14" t="s">
        <v>346</v>
      </c>
      <c r="AB11" s="39">
        <f t="shared" si="2"/>
        <v>46</v>
      </c>
      <c r="AC11" s="40">
        <f t="shared" si="3"/>
        <v>2</v>
      </c>
      <c r="AD11" s="60">
        <f t="shared" si="4"/>
        <v>0</v>
      </c>
      <c r="AE11" s="61" t="str">
        <f t="shared" si="5"/>
        <v>Aarne Välja</v>
      </c>
      <c r="AF11" s="62">
        <f>IFERROR(INDEX(V!$R:$R,MATCH(AE11,V!$L:$L,0)),"")</f>
        <v>0</v>
      </c>
    </row>
    <row r="12" spans="1:32">
      <c r="A12" s="11">
        <v>6</v>
      </c>
      <c r="B12" s="17" t="s">
        <v>199</v>
      </c>
      <c r="C12" s="13">
        <v>13</v>
      </c>
      <c r="D12" s="14" t="s">
        <v>346</v>
      </c>
      <c r="E12" s="14">
        <v>8</v>
      </c>
      <c r="F12" s="15" t="s">
        <v>233</v>
      </c>
      <c r="G12" s="13">
        <v>6</v>
      </c>
      <c r="H12" s="14" t="s">
        <v>346</v>
      </c>
      <c r="I12" s="14">
        <v>13</v>
      </c>
      <c r="J12" s="15" t="s">
        <v>197</v>
      </c>
      <c r="K12" s="13">
        <v>13</v>
      </c>
      <c r="L12" s="14" t="s">
        <v>346</v>
      </c>
      <c r="M12" s="14">
        <v>4</v>
      </c>
      <c r="N12" s="15" t="s">
        <v>192</v>
      </c>
      <c r="O12" s="13">
        <v>11</v>
      </c>
      <c r="P12" s="14" t="s">
        <v>346</v>
      </c>
      <c r="Q12" s="14">
        <v>13</v>
      </c>
      <c r="R12" s="15" t="s">
        <v>222</v>
      </c>
      <c r="S12" s="13">
        <v>13</v>
      </c>
      <c r="T12" s="14" t="s">
        <v>346</v>
      </c>
      <c r="U12" s="14">
        <v>10</v>
      </c>
      <c r="V12" s="15" t="s">
        <v>223</v>
      </c>
      <c r="W12" s="28">
        <f t="shared" si="0"/>
        <v>3</v>
      </c>
      <c r="X12" s="29">
        <v>22</v>
      </c>
      <c r="Y12" s="29">
        <v>76</v>
      </c>
      <c r="Z12" s="13">
        <f t="shared" si="1"/>
        <v>56</v>
      </c>
      <c r="AA12" s="14" t="s">
        <v>346</v>
      </c>
      <c r="AB12" s="39">
        <f t="shared" si="2"/>
        <v>48</v>
      </c>
      <c r="AC12" s="40">
        <f t="shared" si="3"/>
        <v>8</v>
      </c>
      <c r="AD12" s="60">
        <f t="shared" si="4"/>
        <v>146</v>
      </c>
      <c r="AE12" s="61" t="str">
        <f t="shared" si="5"/>
        <v>Meelis Luud</v>
      </c>
      <c r="AF12" s="62">
        <f>IFERROR(INDEX(V!$R:$R,MATCH(AE12,V!$L:$L,0)),"")</f>
        <v>146</v>
      </c>
    </row>
    <row r="13" spans="1:32">
      <c r="A13" s="11">
        <v>7</v>
      </c>
      <c r="B13" s="18" t="s">
        <v>64</v>
      </c>
      <c r="C13" s="13">
        <v>13</v>
      </c>
      <c r="D13" s="14" t="s">
        <v>346</v>
      </c>
      <c r="E13" s="14">
        <v>10</v>
      </c>
      <c r="F13" s="15" t="s">
        <v>213</v>
      </c>
      <c r="G13" s="13">
        <v>8</v>
      </c>
      <c r="H13" s="14" t="s">
        <v>346</v>
      </c>
      <c r="I13" s="14">
        <v>13</v>
      </c>
      <c r="J13" s="15" t="s">
        <v>205</v>
      </c>
      <c r="K13" s="13">
        <v>13</v>
      </c>
      <c r="L13" s="14" t="s">
        <v>346</v>
      </c>
      <c r="M13" s="14">
        <v>5</v>
      </c>
      <c r="N13" s="15" t="s">
        <v>233</v>
      </c>
      <c r="O13" s="13">
        <v>6</v>
      </c>
      <c r="P13" s="14" t="s">
        <v>346</v>
      </c>
      <c r="Q13" s="14">
        <v>13</v>
      </c>
      <c r="R13" s="15" t="s">
        <v>248</v>
      </c>
      <c r="S13" s="13">
        <v>1</v>
      </c>
      <c r="T13" s="14" t="s">
        <v>346</v>
      </c>
      <c r="U13" s="14">
        <v>13</v>
      </c>
      <c r="V13" s="15" t="s">
        <v>192</v>
      </c>
      <c r="W13" s="28">
        <f t="shared" si="0"/>
        <v>2</v>
      </c>
      <c r="X13" s="29">
        <v>20</v>
      </c>
      <c r="Y13" s="29">
        <v>60</v>
      </c>
      <c r="Z13" s="13">
        <f t="shared" si="1"/>
        <v>41</v>
      </c>
      <c r="AA13" s="14" t="s">
        <v>346</v>
      </c>
      <c r="AB13" s="39">
        <f t="shared" si="2"/>
        <v>54</v>
      </c>
      <c r="AC13" s="40">
        <f t="shared" si="3"/>
        <v>-13</v>
      </c>
      <c r="AD13" s="60">
        <f t="shared" si="4"/>
        <v>24</v>
      </c>
      <c r="AE13" s="61" t="str">
        <f t="shared" si="5"/>
        <v>Ivar Viljaste</v>
      </c>
      <c r="AF13" s="62">
        <f>IFERROR(INDEX(V!$R:$R,MATCH(AE13,V!$L:$L,0)),"")</f>
        <v>24</v>
      </c>
    </row>
    <row r="14" spans="1:32">
      <c r="A14" s="11">
        <v>8</v>
      </c>
      <c r="B14" s="18" t="s">
        <v>192</v>
      </c>
      <c r="C14" s="13">
        <v>9</v>
      </c>
      <c r="D14" s="14" t="s">
        <v>346</v>
      </c>
      <c r="E14" s="14">
        <v>13</v>
      </c>
      <c r="F14" s="15" t="s">
        <v>222</v>
      </c>
      <c r="G14" s="13">
        <v>13</v>
      </c>
      <c r="H14" s="14" t="s">
        <v>346</v>
      </c>
      <c r="I14" s="14">
        <v>8</v>
      </c>
      <c r="J14" s="15" t="s">
        <v>209</v>
      </c>
      <c r="K14" s="13">
        <v>4</v>
      </c>
      <c r="L14" s="14" t="s">
        <v>346</v>
      </c>
      <c r="M14" s="14">
        <v>13</v>
      </c>
      <c r="N14" s="15" t="s">
        <v>199</v>
      </c>
      <c r="O14" s="13">
        <v>13</v>
      </c>
      <c r="P14" s="14" t="s">
        <v>346</v>
      </c>
      <c r="Q14" s="14">
        <v>12</v>
      </c>
      <c r="R14" s="15" t="s">
        <v>208</v>
      </c>
      <c r="S14" s="13">
        <v>9</v>
      </c>
      <c r="T14" s="14" t="s">
        <v>346</v>
      </c>
      <c r="U14" s="14">
        <v>13</v>
      </c>
      <c r="V14" s="15" t="s">
        <v>400</v>
      </c>
      <c r="W14" s="28">
        <f t="shared" si="0"/>
        <v>2</v>
      </c>
      <c r="X14" s="29">
        <v>18</v>
      </c>
      <c r="Y14" s="29">
        <v>74</v>
      </c>
      <c r="Z14" s="13">
        <f t="shared" si="1"/>
        <v>48</v>
      </c>
      <c r="AA14" s="14" t="s">
        <v>346</v>
      </c>
      <c r="AB14" s="39">
        <f t="shared" si="2"/>
        <v>59</v>
      </c>
      <c r="AC14" s="40">
        <f t="shared" si="3"/>
        <v>-11</v>
      </c>
      <c r="AD14" s="60">
        <f t="shared" si="4"/>
        <v>176</v>
      </c>
      <c r="AE14" s="61" t="str">
        <f t="shared" si="5"/>
        <v>Vadim Tihhonjuk</v>
      </c>
      <c r="AF14" s="62">
        <f>IFERROR(INDEX(V!$R:$R,MATCH(AE14,V!$L:$L,0)),"")</f>
        <v>176</v>
      </c>
    </row>
    <row r="15" spans="1:32">
      <c r="A15" s="11">
        <v>9</v>
      </c>
      <c r="B15" s="17" t="s">
        <v>195</v>
      </c>
      <c r="C15" s="13">
        <v>13</v>
      </c>
      <c r="D15" s="14" t="s">
        <v>346</v>
      </c>
      <c r="E15" s="14">
        <v>6</v>
      </c>
      <c r="F15" s="15" t="s">
        <v>236</v>
      </c>
      <c r="G15" s="13">
        <v>13</v>
      </c>
      <c r="H15" s="14" t="s">
        <v>346</v>
      </c>
      <c r="I15" s="14">
        <v>10</v>
      </c>
      <c r="J15" s="15" t="s">
        <v>212</v>
      </c>
      <c r="K15" s="13">
        <v>9</v>
      </c>
      <c r="L15" s="14" t="s">
        <v>346</v>
      </c>
      <c r="M15" s="14">
        <v>13</v>
      </c>
      <c r="N15" s="15" t="s">
        <v>205</v>
      </c>
      <c r="O15" s="13">
        <v>9</v>
      </c>
      <c r="P15" s="14" t="s">
        <v>346</v>
      </c>
      <c r="Q15" s="14">
        <v>13</v>
      </c>
      <c r="R15" s="15" t="s">
        <v>214</v>
      </c>
      <c r="S15" s="13">
        <v>13</v>
      </c>
      <c r="T15" s="14" t="s">
        <v>346</v>
      </c>
      <c r="U15" s="14">
        <v>7</v>
      </c>
      <c r="V15" s="15" t="s">
        <v>238</v>
      </c>
      <c r="W15" s="28">
        <f t="shared" si="0"/>
        <v>3</v>
      </c>
      <c r="X15" s="29">
        <v>16</v>
      </c>
      <c r="Y15" s="29">
        <v>68</v>
      </c>
      <c r="Z15" s="13">
        <f t="shared" si="1"/>
        <v>57</v>
      </c>
      <c r="AA15" s="14" t="s">
        <v>346</v>
      </c>
      <c r="AB15" s="39">
        <f t="shared" si="2"/>
        <v>49</v>
      </c>
      <c r="AC15" s="40">
        <f t="shared" si="3"/>
        <v>8</v>
      </c>
      <c r="AD15" s="60">
        <f t="shared" si="4"/>
        <v>150</v>
      </c>
      <c r="AE15" s="61" t="str">
        <f t="shared" si="5"/>
        <v>Henri Mitt</v>
      </c>
      <c r="AF15" s="62">
        <f>IFERROR(INDEX(V!$R:$R,MATCH(AE15,V!$L:$L,0)),"")</f>
        <v>150</v>
      </c>
    </row>
    <row r="16" spans="1:32">
      <c r="A16" s="11">
        <v>10</v>
      </c>
      <c r="B16" s="18" t="s">
        <v>209</v>
      </c>
      <c r="C16" s="13">
        <v>5</v>
      </c>
      <c r="D16" s="14" t="s">
        <v>346</v>
      </c>
      <c r="E16" s="14">
        <v>13</v>
      </c>
      <c r="F16" s="15" t="s">
        <v>205</v>
      </c>
      <c r="G16" s="13">
        <v>8</v>
      </c>
      <c r="H16" s="14" t="s">
        <v>346</v>
      </c>
      <c r="I16" s="14">
        <v>13</v>
      </c>
      <c r="J16" s="15" t="s">
        <v>192</v>
      </c>
      <c r="K16" s="13">
        <v>13</v>
      </c>
      <c r="L16" s="14" t="s">
        <v>346</v>
      </c>
      <c r="M16" s="14">
        <v>1</v>
      </c>
      <c r="N16" s="15" t="s">
        <v>202</v>
      </c>
      <c r="O16" s="13">
        <v>13</v>
      </c>
      <c r="P16" s="14" t="s">
        <v>346</v>
      </c>
      <c r="Q16" s="14">
        <v>11</v>
      </c>
      <c r="R16" s="15" t="s">
        <v>206</v>
      </c>
      <c r="S16" s="13">
        <v>9</v>
      </c>
      <c r="T16" s="14" t="s">
        <v>346</v>
      </c>
      <c r="U16" s="14">
        <v>13</v>
      </c>
      <c r="V16" s="15" t="s">
        <v>248</v>
      </c>
      <c r="W16" s="28">
        <f t="shared" si="0"/>
        <v>2</v>
      </c>
      <c r="X16" s="29">
        <v>16</v>
      </c>
      <c r="Y16" s="29">
        <v>66</v>
      </c>
      <c r="Z16" s="13">
        <f t="shared" si="1"/>
        <v>48</v>
      </c>
      <c r="AA16" s="14" t="s">
        <v>346</v>
      </c>
      <c r="AB16" s="39">
        <f t="shared" si="2"/>
        <v>51</v>
      </c>
      <c r="AC16" s="40">
        <f t="shared" si="3"/>
        <v>-3</v>
      </c>
      <c r="AD16" s="60">
        <f t="shared" ref="AD16:AD26" si="6">SUM(AF16:AF16)</f>
        <v>98</v>
      </c>
      <c r="AE16" s="61" t="str">
        <f t="shared" si="5"/>
        <v>Sirje Maala</v>
      </c>
      <c r="AF16" s="62">
        <f>IFERROR(INDEX(V!$R:$R,MATCH(AE16,V!$L:$L,0)),"")</f>
        <v>98</v>
      </c>
    </row>
    <row r="17" spans="1:32">
      <c r="A17" s="11">
        <v>11</v>
      </c>
      <c r="B17" s="17" t="s">
        <v>233</v>
      </c>
      <c r="C17" s="13">
        <v>8</v>
      </c>
      <c r="D17" s="14" t="s">
        <v>346</v>
      </c>
      <c r="E17" s="14">
        <v>13</v>
      </c>
      <c r="F17" s="15" t="s">
        <v>199</v>
      </c>
      <c r="G17" s="13">
        <v>13</v>
      </c>
      <c r="H17" s="14" t="s">
        <v>346</v>
      </c>
      <c r="I17" s="14">
        <v>9</v>
      </c>
      <c r="J17" s="15" t="s">
        <v>213</v>
      </c>
      <c r="K17" s="13">
        <v>5</v>
      </c>
      <c r="L17" s="14" t="s">
        <v>346</v>
      </c>
      <c r="M17" s="14">
        <v>13</v>
      </c>
      <c r="N17" s="15" t="s">
        <v>64</v>
      </c>
      <c r="O17" s="13">
        <v>13</v>
      </c>
      <c r="P17" s="14" t="s">
        <v>346</v>
      </c>
      <c r="Q17" s="14">
        <v>11</v>
      </c>
      <c r="R17" s="15" t="s">
        <v>212</v>
      </c>
      <c r="S17" s="13">
        <v>13</v>
      </c>
      <c r="T17" s="14" t="s">
        <v>346</v>
      </c>
      <c r="U17" s="14">
        <v>10</v>
      </c>
      <c r="V17" s="15" t="s">
        <v>227</v>
      </c>
      <c r="W17" s="28">
        <f t="shared" si="0"/>
        <v>3</v>
      </c>
      <c r="X17" s="29">
        <v>14</v>
      </c>
      <c r="Y17" s="29">
        <v>68</v>
      </c>
      <c r="Z17" s="13">
        <f t="shared" si="1"/>
        <v>52</v>
      </c>
      <c r="AA17" s="14" t="s">
        <v>346</v>
      </c>
      <c r="AB17" s="39">
        <f t="shared" si="2"/>
        <v>56</v>
      </c>
      <c r="AC17" s="40">
        <f t="shared" si="3"/>
        <v>-4</v>
      </c>
      <c r="AD17" s="60">
        <f t="shared" si="6"/>
        <v>26</v>
      </c>
      <c r="AE17" s="61" t="str">
        <f t="shared" si="5"/>
        <v>Jaan Saar</v>
      </c>
      <c r="AF17" s="62">
        <f>IFERROR(INDEX(V!$R:$R,MATCH(AE17,V!$L:$L,0)),"")</f>
        <v>26</v>
      </c>
    </row>
    <row r="18" spans="1:32">
      <c r="A18" s="11">
        <v>12</v>
      </c>
      <c r="B18" s="18" t="s">
        <v>208</v>
      </c>
      <c r="C18" s="13">
        <v>13</v>
      </c>
      <c r="D18" s="14" t="s">
        <v>346</v>
      </c>
      <c r="E18" s="14">
        <v>9</v>
      </c>
      <c r="F18" s="15" t="s">
        <v>201</v>
      </c>
      <c r="G18" s="13">
        <v>10</v>
      </c>
      <c r="H18" s="14" t="s">
        <v>346</v>
      </c>
      <c r="I18" s="14">
        <v>13</v>
      </c>
      <c r="J18" s="15" t="s">
        <v>206</v>
      </c>
      <c r="K18" s="13">
        <v>13</v>
      </c>
      <c r="L18" s="14" t="s">
        <v>346</v>
      </c>
      <c r="M18" s="14">
        <v>3</v>
      </c>
      <c r="N18" s="15" t="s">
        <v>236</v>
      </c>
      <c r="O18" s="13">
        <v>12</v>
      </c>
      <c r="P18" s="14" t="s">
        <v>346</v>
      </c>
      <c r="Q18" s="14">
        <v>13</v>
      </c>
      <c r="R18" s="15" t="s">
        <v>192</v>
      </c>
      <c r="S18" s="13">
        <v>10</v>
      </c>
      <c r="T18" s="14" t="s">
        <v>346</v>
      </c>
      <c r="U18" s="14">
        <v>13</v>
      </c>
      <c r="V18" s="15" t="s">
        <v>205</v>
      </c>
      <c r="W18" s="28">
        <f t="shared" si="0"/>
        <v>2</v>
      </c>
      <c r="X18" s="29">
        <v>14</v>
      </c>
      <c r="Y18" s="29">
        <v>60</v>
      </c>
      <c r="Z18" s="13">
        <f t="shared" si="1"/>
        <v>58</v>
      </c>
      <c r="AA18" s="14" t="s">
        <v>346</v>
      </c>
      <c r="AB18" s="39">
        <f t="shared" si="2"/>
        <v>51</v>
      </c>
      <c r="AC18" s="40">
        <f t="shared" si="3"/>
        <v>7</v>
      </c>
      <c r="AD18" s="60">
        <f t="shared" si="6"/>
        <v>100</v>
      </c>
      <c r="AE18" s="61" t="str">
        <f t="shared" si="5"/>
        <v>Urmas Jõeäär</v>
      </c>
      <c r="AF18" s="62">
        <f>IFERROR(INDEX(V!$R:$R,MATCH(AE18,V!$L:$L,0)),"")</f>
        <v>100</v>
      </c>
    </row>
    <row r="19" spans="1:32">
      <c r="A19" s="11">
        <v>13</v>
      </c>
      <c r="B19" s="17" t="s">
        <v>201</v>
      </c>
      <c r="C19" s="13">
        <v>9</v>
      </c>
      <c r="D19" s="14" t="s">
        <v>346</v>
      </c>
      <c r="E19" s="14">
        <v>13</v>
      </c>
      <c r="F19" s="15" t="s">
        <v>208</v>
      </c>
      <c r="G19" s="13">
        <v>6</v>
      </c>
      <c r="H19" s="14" t="s">
        <v>346</v>
      </c>
      <c r="I19" s="14">
        <v>13</v>
      </c>
      <c r="J19" s="15" t="s">
        <v>214</v>
      </c>
      <c r="K19" s="13">
        <v>13</v>
      </c>
      <c r="L19" s="14" t="s">
        <v>346</v>
      </c>
      <c r="M19" s="14">
        <v>9</v>
      </c>
      <c r="N19" s="15" t="s">
        <v>235</v>
      </c>
      <c r="O19" s="13">
        <v>13</v>
      </c>
      <c r="P19" s="14" t="s">
        <v>346</v>
      </c>
      <c r="Q19" s="14">
        <v>8</v>
      </c>
      <c r="R19" s="15" t="s">
        <v>236</v>
      </c>
      <c r="S19" s="13">
        <v>13</v>
      </c>
      <c r="T19" s="14" t="s">
        <v>346</v>
      </c>
      <c r="U19" s="14">
        <v>1</v>
      </c>
      <c r="V19" s="15" t="s">
        <v>230</v>
      </c>
      <c r="W19" s="28">
        <f t="shared" si="0"/>
        <v>3</v>
      </c>
      <c r="X19" s="29">
        <v>14</v>
      </c>
      <c r="Y19" s="29">
        <v>54</v>
      </c>
      <c r="Z19" s="13">
        <f t="shared" si="1"/>
        <v>54</v>
      </c>
      <c r="AA19" s="14" t="s">
        <v>346</v>
      </c>
      <c r="AB19" s="39">
        <f t="shared" si="2"/>
        <v>44</v>
      </c>
      <c r="AC19" s="40">
        <f t="shared" si="3"/>
        <v>10</v>
      </c>
      <c r="AD19" s="60">
        <f t="shared" si="6"/>
        <v>146</v>
      </c>
      <c r="AE19" s="61" t="str">
        <f t="shared" si="5"/>
        <v>Sander Rose</v>
      </c>
      <c r="AF19" s="62">
        <f>IFERROR(INDEX(V!$R:$R,MATCH(AE19,V!$L:$L,0)),"")</f>
        <v>146</v>
      </c>
    </row>
    <row r="20" spans="1:32">
      <c r="A20" s="11">
        <v>14</v>
      </c>
      <c r="B20" s="18" t="s">
        <v>206</v>
      </c>
      <c r="C20" s="13">
        <v>13</v>
      </c>
      <c r="D20" s="14" t="s">
        <v>346</v>
      </c>
      <c r="E20" s="14">
        <v>7</v>
      </c>
      <c r="F20" s="15" t="s">
        <v>367</v>
      </c>
      <c r="G20" s="13">
        <v>13</v>
      </c>
      <c r="H20" s="14" t="s">
        <v>346</v>
      </c>
      <c r="I20" s="14">
        <v>10</v>
      </c>
      <c r="J20" s="15" t="s">
        <v>208</v>
      </c>
      <c r="K20" s="13">
        <v>11</v>
      </c>
      <c r="L20" s="14" t="s">
        <v>346</v>
      </c>
      <c r="M20" s="14">
        <v>12</v>
      </c>
      <c r="N20" s="15" t="s">
        <v>248</v>
      </c>
      <c r="O20" s="13">
        <v>11</v>
      </c>
      <c r="P20" s="14" t="s">
        <v>346</v>
      </c>
      <c r="Q20" s="14">
        <v>13</v>
      </c>
      <c r="R20" s="15" t="s">
        <v>209</v>
      </c>
      <c r="S20" s="13">
        <v>7</v>
      </c>
      <c r="T20" s="14" t="s">
        <v>346</v>
      </c>
      <c r="U20" s="14">
        <v>13</v>
      </c>
      <c r="V20" s="15" t="s">
        <v>214</v>
      </c>
      <c r="W20" s="28">
        <f t="shared" ref="W20:W26" si="7">IF(C20&gt;E20,W$2,IF(C20&lt;E20,W$4,IF(ISNUMBER(C20),W$3,0)))+IF(G20&gt;I20,W$2,IF(G20&lt;I20,W$4,IF(ISNUMBER(G20),W$3,0)))+IF(K20&gt;M20,W$2,IF(K20&lt;M20,W$4,IF(ISNUMBER(K20),W$3,0)))+IF(O20&gt;Q20,W$2,IF(O20&lt;Q20,W$4,IF(ISNUMBER(O20),W$3,0)))+IF(S20&gt;U20,W$2,IF(S20&lt;U20,W$4,IF(ISNUMBER(S20),W$3,0)))</f>
        <v>2</v>
      </c>
      <c r="X20" s="29">
        <v>14</v>
      </c>
      <c r="Y20" s="29">
        <v>46</v>
      </c>
      <c r="Z20" s="13">
        <f t="shared" ref="Z20:Z26" si="8">C20+G20+K20+O20+S20</f>
        <v>55</v>
      </c>
      <c r="AA20" s="14" t="s">
        <v>346</v>
      </c>
      <c r="AB20" s="39">
        <f t="shared" ref="AB20:AB26" si="9">E20+I20+M20+Q20+U20</f>
        <v>55</v>
      </c>
      <c r="AC20" s="40">
        <f t="shared" ref="AC20:AC26" si="10">Z20-AB20</f>
        <v>0</v>
      </c>
      <c r="AD20" s="60">
        <f t="shared" si="6"/>
        <v>104</v>
      </c>
      <c r="AE20" s="61" t="str">
        <f t="shared" si="5"/>
        <v>Andres Veski</v>
      </c>
      <c r="AF20" s="62">
        <f>IFERROR(INDEX(V!$R:$R,MATCH(AE20,V!$L:$L,0)),"")</f>
        <v>104</v>
      </c>
    </row>
    <row r="21" spans="1:32">
      <c r="A21" s="11">
        <v>15</v>
      </c>
      <c r="B21" s="17" t="s">
        <v>213</v>
      </c>
      <c r="C21" s="13">
        <v>10</v>
      </c>
      <c r="D21" s="14" t="s">
        <v>346</v>
      </c>
      <c r="E21" s="14">
        <v>13</v>
      </c>
      <c r="F21" s="15" t="s">
        <v>64</v>
      </c>
      <c r="G21" s="13">
        <v>9</v>
      </c>
      <c r="H21" s="14" t="s">
        <v>346</v>
      </c>
      <c r="I21" s="14">
        <v>13</v>
      </c>
      <c r="J21" s="15" t="s">
        <v>233</v>
      </c>
      <c r="K21" s="13">
        <v>13</v>
      </c>
      <c r="L21" s="14" t="s">
        <v>346</v>
      </c>
      <c r="M21" s="14">
        <v>7</v>
      </c>
      <c r="N21" s="15" t="s">
        <v>367</v>
      </c>
      <c r="O21" s="13">
        <v>13</v>
      </c>
      <c r="P21" s="14" t="s">
        <v>346</v>
      </c>
      <c r="Q21" s="14">
        <v>8</v>
      </c>
      <c r="R21" s="15" t="s">
        <v>202</v>
      </c>
      <c r="S21" s="13">
        <v>10</v>
      </c>
      <c r="T21" s="14" t="s">
        <v>346</v>
      </c>
      <c r="U21" s="14">
        <v>13</v>
      </c>
      <c r="V21" s="15" t="s">
        <v>401</v>
      </c>
      <c r="W21" s="28">
        <f t="shared" si="7"/>
        <v>2</v>
      </c>
      <c r="X21" s="29">
        <v>10</v>
      </c>
      <c r="Y21" s="29">
        <v>48</v>
      </c>
      <c r="Z21" s="13">
        <f t="shared" si="8"/>
        <v>55</v>
      </c>
      <c r="AA21" s="14" t="s">
        <v>346</v>
      </c>
      <c r="AB21" s="39">
        <f t="shared" si="9"/>
        <v>54</v>
      </c>
      <c r="AC21" s="40">
        <f t="shared" si="10"/>
        <v>1</v>
      </c>
      <c r="AD21" s="60">
        <f t="shared" si="6"/>
        <v>88</v>
      </c>
      <c r="AE21" s="61" t="str">
        <f t="shared" si="5"/>
        <v>Enn Tokman</v>
      </c>
      <c r="AF21" s="62">
        <f>IFERROR(INDEX(V!$R:$R,MATCH(AE21,V!$L:$L,0)),"")</f>
        <v>88</v>
      </c>
    </row>
    <row r="22" spans="1:32">
      <c r="A22" s="11">
        <v>16</v>
      </c>
      <c r="B22" s="18" t="s">
        <v>212</v>
      </c>
      <c r="C22" s="13">
        <v>13</v>
      </c>
      <c r="D22" s="14" t="s">
        <v>346</v>
      </c>
      <c r="E22" s="14">
        <v>5</v>
      </c>
      <c r="F22" s="15" t="s">
        <v>235</v>
      </c>
      <c r="G22" s="13">
        <v>10</v>
      </c>
      <c r="H22" s="14" t="s">
        <v>346</v>
      </c>
      <c r="I22" s="14">
        <v>13</v>
      </c>
      <c r="J22" s="15" t="s">
        <v>195</v>
      </c>
      <c r="K22" s="13">
        <v>7</v>
      </c>
      <c r="L22" s="14" t="s">
        <v>346</v>
      </c>
      <c r="M22" s="14">
        <v>13</v>
      </c>
      <c r="N22" s="15" t="s">
        <v>214</v>
      </c>
      <c r="O22" s="13">
        <v>11</v>
      </c>
      <c r="P22" s="14" t="s">
        <v>346</v>
      </c>
      <c r="Q22" s="14">
        <v>13</v>
      </c>
      <c r="R22" s="15" t="s">
        <v>233</v>
      </c>
      <c r="S22" s="13">
        <v>13</v>
      </c>
      <c r="T22" s="14" t="s">
        <v>346</v>
      </c>
      <c r="U22" s="14">
        <v>12</v>
      </c>
      <c r="V22" s="15" t="s">
        <v>202</v>
      </c>
      <c r="W22" s="28">
        <f t="shared" si="7"/>
        <v>2</v>
      </c>
      <c r="X22" s="29">
        <v>16</v>
      </c>
      <c r="Y22" s="29">
        <v>56</v>
      </c>
      <c r="Z22" s="13">
        <f t="shared" si="8"/>
        <v>54</v>
      </c>
      <c r="AA22" s="14" t="s">
        <v>346</v>
      </c>
      <c r="AB22" s="39">
        <f t="shared" si="9"/>
        <v>56</v>
      </c>
      <c r="AC22" s="40">
        <f t="shared" si="10"/>
        <v>-2</v>
      </c>
      <c r="AD22" s="60">
        <f t="shared" si="6"/>
        <v>96</v>
      </c>
      <c r="AE22" s="61" t="str">
        <f t="shared" si="5"/>
        <v>Andrei Grintšak</v>
      </c>
      <c r="AF22" s="62">
        <f>IFERROR(INDEX(V!$R:$R,MATCH(AE22,V!$L:$L,0)),"")</f>
        <v>96</v>
      </c>
    </row>
    <row r="23" spans="1:32">
      <c r="A23" s="11">
        <v>17</v>
      </c>
      <c r="B23" s="17" t="s">
        <v>236</v>
      </c>
      <c r="C23" s="13">
        <v>6</v>
      </c>
      <c r="D23" s="14" t="s">
        <v>346</v>
      </c>
      <c r="E23" s="14">
        <v>13</v>
      </c>
      <c r="F23" s="15" t="s">
        <v>195</v>
      </c>
      <c r="G23" s="13">
        <v>13</v>
      </c>
      <c r="H23" s="14" t="s">
        <v>346</v>
      </c>
      <c r="I23" s="14">
        <v>6</v>
      </c>
      <c r="J23" s="15" t="s">
        <v>235</v>
      </c>
      <c r="K23" s="13">
        <v>3</v>
      </c>
      <c r="L23" s="14" t="s">
        <v>346</v>
      </c>
      <c r="M23" s="14">
        <v>13</v>
      </c>
      <c r="N23" s="15" t="s">
        <v>208</v>
      </c>
      <c r="O23" s="13">
        <v>8</v>
      </c>
      <c r="P23" s="14" t="s">
        <v>346</v>
      </c>
      <c r="Q23" s="14">
        <v>13</v>
      </c>
      <c r="R23" s="15" t="s">
        <v>201</v>
      </c>
      <c r="S23" s="13">
        <v>1</v>
      </c>
      <c r="T23" s="14" t="s">
        <v>346</v>
      </c>
      <c r="U23" s="14">
        <v>13</v>
      </c>
      <c r="V23" s="15" t="s">
        <v>232</v>
      </c>
      <c r="W23" s="28">
        <f t="shared" si="7"/>
        <v>1</v>
      </c>
      <c r="X23" s="29">
        <v>14</v>
      </c>
      <c r="Y23" s="29">
        <v>52</v>
      </c>
      <c r="Z23" s="13">
        <f t="shared" si="8"/>
        <v>31</v>
      </c>
      <c r="AA23" s="14" t="s">
        <v>346</v>
      </c>
      <c r="AB23" s="39">
        <f t="shared" si="9"/>
        <v>58</v>
      </c>
      <c r="AC23" s="40">
        <f t="shared" si="10"/>
        <v>-27</v>
      </c>
      <c r="AD23" s="60">
        <f t="shared" si="6"/>
        <v>20</v>
      </c>
      <c r="AE23" s="61" t="str">
        <f t="shared" si="5"/>
        <v>Sirje Viljaste</v>
      </c>
      <c r="AF23" s="62">
        <f>IFERROR(INDEX(V!$R:$R,MATCH(AE23,V!$L:$L,0)),"")</f>
        <v>20</v>
      </c>
    </row>
    <row r="24" spans="1:32">
      <c r="A24" s="11">
        <v>18</v>
      </c>
      <c r="B24" s="18" t="s">
        <v>202</v>
      </c>
      <c r="C24" s="13">
        <v>3</v>
      </c>
      <c r="D24" s="14" t="s">
        <v>346</v>
      </c>
      <c r="E24" s="14">
        <v>13</v>
      </c>
      <c r="F24" s="15" t="s">
        <v>248</v>
      </c>
      <c r="G24" s="13">
        <v>13</v>
      </c>
      <c r="H24" s="14" t="s">
        <v>346</v>
      </c>
      <c r="I24" s="14">
        <v>7</v>
      </c>
      <c r="J24" s="15" t="s">
        <v>367</v>
      </c>
      <c r="K24" s="13">
        <v>1</v>
      </c>
      <c r="L24" s="14" t="s">
        <v>346</v>
      </c>
      <c r="M24" s="14">
        <v>13</v>
      </c>
      <c r="N24" s="15" t="s">
        <v>209</v>
      </c>
      <c r="O24" s="13">
        <v>8</v>
      </c>
      <c r="P24" s="14" t="s">
        <v>346</v>
      </c>
      <c r="Q24" s="14">
        <v>13</v>
      </c>
      <c r="R24" s="15" t="s">
        <v>213</v>
      </c>
      <c r="S24" s="13">
        <v>11</v>
      </c>
      <c r="T24" s="14" t="s">
        <v>346</v>
      </c>
      <c r="U24" s="14">
        <v>10</v>
      </c>
      <c r="V24" s="15" t="s">
        <v>209</v>
      </c>
      <c r="W24" s="28">
        <f t="shared" si="7"/>
        <v>2</v>
      </c>
      <c r="X24" s="29">
        <v>14</v>
      </c>
      <c r="Y24" s="29">
        <v>42</v>
      </c>
      <c r="Z24" s="13">
        <f t="shared" si="8"/>
        <v>36</v>
      </c>
      <c r="AA24" s="14" t="s">
        <v>346</v>
      </c>
      <c r="AB24" s="39">
        <f t="shared" si="9"/>
        <v>56</v>
      </c>
      <c r="AC24" s="40">
        <f t="shared" si="10"/>
        <v>-20</v>
      </c>
      <c r="AD24" s="60">
        <f t="shared" si="6"/>
        <v>146</v>
      </c>
      <c r="AE24" s="61" t="str">
        <f t="shared" si="5"/>
        <v>Kristel Tihhonjuk</v>
      </c>
      <c r="AF24" s="62">
        <f>IFERROR(INDEX(V!$R:$R,MATCH(AE24,V!$L:$L,0)),"")</f>
        <v>146</v>
      </c>
    </row>
    <row r="25" spans="1:32">
      <c r="A25" s="11">
        <v>19</v>
      </c>
      <c r="B25" s="17" t="s">
        <v>235</v>
      </c>
      <c r="C25" s="13">
        <v>5</v>
      </c>
      <c r="D25" s="14" t="s">
        <v>346</v>
      </c>
      <c r="E25" s="14">
        <v>13</v>
      </c>
      <c r="F25" s="15" t="s">
        <v>212</v>
      </c>
      <c r="G25" s="13">
        <v>6</v>
      </c>
      <c r="H25" s="14" t="s">
        <v>346</v>
      </c>
      <c r="I25" s="14">
        <v>13</v>
      </c>
      <c r="J25" s="15" t="s">
        <v>236</v>
      </c>
      <c r="K25" s="13">
        <v>9</v>
      </c>
      <c r="L25" s="14" t="s">
        <v>346</v>
      </c>
      <c r="M25" s="14">
        <v>13</v>
      </c>
      <c r="N25" s="15" t="s">
        <v>201</v>
      </c>
      <c r="O25" s="13">
        <v>13</v>
      </c>
      <c r="P25" s="14" t="s">
        <v>346</v>
      </c>
      <c r="Q25" s="14">
        <v>7</v>
      </c>
      <c r="R25" s="15" t="s">
        <v>367</v>
      </c>
      <c r="S25" s="13">
        <v>12</v>
      </c>
      <c r="T25" s="14" t="s">
        <v>346</v>
      </c>
      <c r="U25" s="14">
        <v>13</v>
      </c>
      <c r="V25" s="15" t="s">
        <v>305</v>
      </c>
      <c r="W25" s="28">
        <f t="shared" si="7"/>
        <v>1</v>
      </c>
      <c r="X25" s="29">
        <v>8</v>
      </c>
      <c r="Y25" s="29">
        <v>44</v>
      </c>
      <c r="Z25" s="13">
        <f t="shared" si="8"/>
        <v>45</v>
      </c>
      <c r="AA25" s="14" t="s">
        <v>346</v>
      </c>
      <c r="AB25" s="39">
        <f t="shared" si="9"/>
        <v>59</v>
      </c>
      <c r="AC25" s="40">
        <f t="shared" si="10"/>
        <v>-14</v>
      </c>
      <c r="AD25" s="60">
        <f t="shared" si="6"/>
        <v>26</v>
      </c>
      <c r="AE25" s="61" t="str">
        <f t="shared" si="5"/>
        <v>Vello Vasser</v>
      </c>
      <c r="AF25" s="62">
        <f>IFERROR(INDEX(V!$R:$R,MATCH(AE25,V!$L:$L,0)),"")</f>
        <v>26</v>
      </c>
    </row>
    <row r="28" hidden="1"/>
    <row r="29" hidden="1"/>
    <row r="30" hidden="1"/>
    <row r="31" hidden="1"/>
    <row r="32" hidden="1"/>
    <row r="33" hidden="1"/>
    <row r="34" hidden="1"/>
    <row r="35" hidden="1"/>
    <row r="36" hidden="1"/>
    <row r="37" hidden="1"/>
    <row r="38" hidden="1"/>
    <row r="39" hidden="1"/>
    <row r="40" hidden="1"/>
    <row r="41" hidden="1"/>
    <row r="42" hidden="1"/>
    <row r="43" hidden="1"/>
    <row r="44" hidden="1"/>
    <row r="45" hidden="1"/>
    <row r="46" hidden="1"/>
    <row r="47" hidden="1"/>
    <row r="48" hidden="1"/>
    <row r="49" hidden="1"/>
    <row r="50" hidden="1"/>
    <row r="51" hidden="1"/>
    <row r="52" hidden="1"/>
    <row r="53" hidden="1"/>
    <row r="54" hidden="1"/>
    <row r="55" hidden="1"/>
    <row r="56" hidden="1"/>
    <row r="57" hidden="1"/>
    <row r="58" hidden="1"/>
    <row r="59" hidden="1"/>
    <row r="60" hidden="1"/>
    <row r="61" hidden="1"/>
    <row r="62" hidden="1"/>
    <row r="63" hidden="1"/>
    <row r="64" hidden="1"/>
    <row r="65" hidden="1"/>
    <row r="66" hidden="1"/>
    <row r="67" hidden="1"/>
    <row r="68" hidden="1"/>
    <row r="69" hidden="1"/>
    <row r="70" hidden="1"/>
    <row r="71" hidden="1"/>
    <row r="72" hidden="1"/>
    <row r="73" hidden="1"/>
    <row r="74" hidden="1"/>
    <row r="75" hidden="1"/>
    <row r="76" hidden="1"/>
    <row r="77" hidden="1"/>
    <row r="78" hidden="1"/>
    <row r="79" hidden="1"/>
    <row r="80" hidden="1"/>
    <row r="81" hidden="1"/>
    <row r="82" hidden="1"/>
    <row r="83" hidden="1"/>
    <row r="84" hidden="1"/>
    <row r="85" hidden="1"/>
    <row r="86" hidden="1"/>
    <row r="87" hidden="1"/>
    <row r="88" hidden="1"/>
    <row r="89" hidden="1"/>
    <row r="90" hidden="1"/>
    <row r="91" hidden="1"/>
    <row r="92" hidden="1"/>
    <row r="93" hidden="1"/>
    <row r="94" hidden="1"/>
    <row r="95" hidden="1"/>
    <row r="96" hidden="1"/>
    <row r="97" hidden="1"/>
    <row r="98" hidden="1"/>
    <row r="99" hidden="1"/>
    <row r="100" spans="1:10">
      <c r="A100" s="63" t="s">
        <v>402</v>
      </c>
      <c r="B100" s="64"/>
      <c r="C100" s="65"/>
      <c r="D100" s="65"/>
      <c r="E100" s="65"/>
      <c r="F100" s="65"/>
      <c r="G100" s="66"/>
      <c r="H100" s="67"/>
      <c r="I100" s="93"/>
      <c r="J100" s="94"/>
    </row>
    <row r="101" spans="1:10">
      <c r="A101" s="67"/>
      <c r="B101" s="67"/>
      <c r="C101" s="67"/>
      <c r="D101" s="67"/>
      <c r="E101" s="67"/>
      <c r="F101" s="67"/>
      <c r="G101" s="67"/>
      <c r="H101" s="67"/>
      <c r="I101" s="93"/>
      <c r="J101" s="94"/>
    </row>
    <row r="102" spans="1:10">
      <c r="A102" s="68">
        <v>1</v>
      </c>
      <c r="B102" s="67" t="str">
        <f>IFERROR(INDEX(B$1:B$100,MATCH(A102,A$1:A$100,0)),"")</f>
        <v>Olav Türk</v>
      </c>
      <c r="C102" s="69">
        <v>13</v>
      </c>
      <c r="D102" s="67"/>
      <c r="E102" s="67"/>
      <c r="F102" s="67"/>
      <c r="G102" s="67"/>
      <c r="H102" s="67"/>
      <c r="I102" s="93"/>
      <c r="J102" s="94"/>
    </row>
    <row r="103" spans="1:12">
      <c r="A103" s="70"/>
      <c r="B103" s="71"/>
      <c r="C103" s="72" t="str">
        <f>IF(COUNT(C102,C104)=2,IF(C102&gt;C104,B102,B104),"")</f>
        <v>Olav Türk</v>
      </c>
      <c r="D103" s="67"/>
      <c r="G103" s="69">
        <v>13</v>
      </c>
      <c r="H103" s="67"/>
      <c r="I103" s="67"/>
      <c r="J103" s="67"/>
      <c r="K103" s="67"/>
      <c r="L103" s="94"/>
    </row>
    <row r="104" spans="1:12">
      <c r="A104" s="70">
        <v>8</v>
      </c>
      <c r="B104" s="73" t="str">
        <f>IFERROR(INDEX(B$1:B$100,MATCH(A104,A$1:A$100,0)),"")</f>
        <v>Vadim Tihhonjuk</v>
      </c>
      <c r="C104" s="74">
        <v>11</v>
      </c>
      <c r="D104" s="71"/>
      <c r="E104" s="75"/>
      <c r="F104" s="76"/>
      <c r="G104" s="67"/>
      <c r="H104" s="67"/>
      <c r="I104" s="67"/>
      <c r="J104" s="67"/>
      <c r="K104" s="67"/>
      <c r="L104" s="94"/>
    </row>
    <row r="105" spans="1:13">
      <c r="A105" s="70"/>
      <c r="B105" s="67"/>
      <c r="C105" s="67"/>
      <c r="D105" s="64"/>
      <c r="E105" s="77"/>
      <c r="F105" s="78"/>
      <c r="G105" s="79" t="str">
        <f>IF(COUNT(G103,G107)=2,IF(G103&gt;G107,C103,C107),"")</f>
        <v>Olav Türk</v>
      </c>
      <c r="H105" s="67"/>
      <c r="K105" s="69">
        <v>8</v>
      </c>
      <c r="L105" s="67"/>
      <c r="M105" s="67"/>
    </row>
    <row r="106" spans="1:13">
      <c r="A106" s="70">
        <v>4</v>
      </c>
      <c r="B106" s="67" t="str">
        <f>IFERROR(INDEX(B$1:B$100,MATCH(A106,A$1:A$100,0)),"")</f>
        <v>Kenneth Muusikus</v>
      </c>
      <c r="C106" s="69">
        <v>5</v>
      </c>
      <c r="D106" s="64"/>
      <c r="E106" s="77"/>
      <c r="F106" s="78"/>
      <c r="G106" s="71"/>
      <c r="H106" s="71"/>
      <c r="I106" s="85"/>
      <c r="J106" s="95"/>
      <c r="K106" s="67"/>
      <c r="L106" s="67"/>
      <c r="M106" s="67"/>
    </row>
    <row r="107" spans="1:13">
      <c r="A107" s="70"/>
      <c r="B107" s="71"/>
      <c r="C107" s="72" t="str">
        <f>IF(COUNT(C106,C108)=2,IF(C106&gt;C108,B106,B108),"")</f>
        <v>Aarne Välja</v>
      </c>
      <c r="D107" s="79"/>
      <c r="E107" s="80"/>
      <c r="F107" s="81"/>
      <c r="G107" s="82">
        <v>9</v>
      </c>
      <c r="H107" s="64"/>
      <c r="J107" s="96"/>
      <c r="K107" s="67"/>
      <c r="L107" s="67"/>
      <c r="M107" s="67"/>
    </row>
    <row r="108" spans="1:13">
      <c r="A108" s="70">
        <v>5</v>
      </c>
      <c r="B108" s="73" t="str">
        <f>IFERROR(INDEX(B$1:B$100,MATCH(A108,A$1:A$100,0)),"")</f>
        <v>Aarne Välja</v>
      </c>
      <c r="C108" s="74">
        <v>13</v>
      </c>
      <c r="D108" s="67"/>
      <c r="G108" s="64"/>
      <c r="H108" s="64"/>
      <c r="J108" s="96"/>
      <c r="K108" s="67"/>
      <c r="L108" s="67"/>
      <c r="M108" s="67"/>
    </row>
    <row r="109" ht="13.05" spans="1:14">
      <c r="A109" s="83"/>
      <c r="B109" s="67"/>
      <c r="C109" s="67"/>
      <c r="D109" s="67"/>
      <c r="G109" s="64"/>
      <c r="H109" s="64"/>
      <c r="J109" s="96"/>
      <c r="K109" s="67"/>
      <c r="M109" s="64" t="str">
        <f>IF(COUNT(K105,K113)=2,IF(K105&gt;K113,G105,G113),"")</f>
        <v>Ivar Viljaste</v>
      </c>
      <c r="N109" s="67"/>
    </row>
    <row r="110" spans="1:14">
      <c r="A110" s="68">
        <v>3</v>
      </c>
      <c r="B110" s="67" t="str">
        <f>IFERROR(INDEX(B$1:B$100,MATCH(A110,A$1:A$100,0)),"")</f>
        <v>Jaan Sepp</v>
      </c>
      <c r="C110" s="69">
        <v>11</v>
      </c>
      <c r="D110" s="67"/>
      <c r="G110" s="67"/>
      <c r="H110" s="64"/>
      <c r="J110" s="96"/>
      <c r="K110" s="71"/>
      <c r="L110" s="85"/>
      <c r="M110" s="97" t="s">
        <v>403</v>
      </c>
      <c r="N110" s="71"/>
    </row>
    <row r="111" spans="1:14">
      <c r="A111" s="70"/>
      <c r="B111" s="71"/>
      <c r="C111" s="72" t="str">
        <f>IF(COUNT(C110,C112)=2,IF(C110&gt;C112,B110,B112),"")</f>
        <v>Meelis Luud</v>
      </c>
      <c r="D111" s="67"/>
      <c r="G111" s="69">
        <v>11</v>
      </c>
      <c r="H111" s="64"/>
      <c r="J111" s="96"/>
      <c r="K111" s="64"/>
      <c r="M111" s="67"/>
      <c r="N111" s="67"/>
    </row>
    <row r="112" spans="1:14">
      <c r="A112" s="70">
        <v>6</v>
      </c>
      <c r="B112" s="73" t="str">
        <f>IFERROR(INDEX(B$1:B$100,MATCH(A112,A$1:A$100,0)),"")</f>
        <v>Meelis Luud</v>
      </c>
      <c r="C112" s="74">
        <v>13</v>
      </c>
      <c r="D112" s="71"/>
      <c r="E112" s="75"/>
      <c r="F112" s="76"/>
      <c r="G112" s="67"/>
      <c r="H112" s="64"/>
      <c r="J112" s="96"/>
      <c r="K112" s="64"/>
      <c r="M112" s="67"/>
      <c r="N112" s="67"/>
    </row>
    <row r="113" spans="1:14">
      <c r="A113" s="70"/>
      <c r="B113" s="67"/>
      <c r="C113" s="67"/>
      <c r="D113" s="64"/>
      <c r="E113" s="77"/>
      <c r="F113" s="78"/>
      <c r="G113" s="79" t="str">
        <f>IF(COUNT(G111,G115)=2,IF(G111&gt;G115,C111,C115),"")</f>
        <v>Ivar Viljaste</v>
      </c>
      <c r="H113" s="79"/>
      <c r="I113" s="88"/>
      <c r="J113" s="98"/>
      <c r="K113" s="82">
        <v>13</v>
      </c>
      <c r="M113" s="67"/>
      <c r="N113" s="67"/>
    </row>
    <row r="114" ht="13.05" spans="1:14">
      <c r="A114" s="70">
        <v>2</v>
      </c>
      <c r="B114" s="67" t="str">
        <f>IFERROR(INDEX(B$1:B$100,MATCH(A114,A$1:A$100,0)),"")</f>
        <v>Viktor Švarõgin</v>
      </c>
      <c r="C114" s="69">
        <v>10</v>
      </c>
      <c r="D114" s="64"/>
      <c r="E114" s="77"/>
      <c r="F114" s="78"/>
      <c r="G114" s="71"/>
      <c r="H114" s="64"/>
      <c r="K114" s="64"/>
      <c r="M114" s="99" t="str">
        <f>IF(COUNT(K105,K113)=2,IF(K105&lt;K113,G105,G113),"")</f>
        <v>Olav Türk</v>
      </c>
      <c r="N114" s="99"/>
    </row>
    <row r="115" spans="1:14">
      <c r="A115" s="70"/>
      <c r="B115" s="71"/>
      <c r="C115" s="72" t="str">
        <f>IF(COUNT(C114,C116)=2,IF(C114&gt;C116,B114,B116),"")</f>
        <v>Ivar Viljaste</v>
      </c>
      <c r="D115" s="79"/>
      <c r="E115" s="80"/>
      <c r="F115" s="81"/>
      <c r="G115" s="82">
        <v>13</v>
      </c>
      <c r="H115" s="67"/>
      <c r="K115" s="64"/>
      <c r="M115" s="100" t="s">
        <v>404</v>
      </c>
      <c r="N115" s="64"/>
    </row>
    <row r="116" spans="1:14">
      <c r="A116" s="70">
        <v>7</v>
      </c>
      <c r="B116" s="73" t="str">
        <f>IFERROR(INDEX(B$1:B$100,MATCH(A116,A$1:A$100,0)),"")</f>
        <v>Ivar Viljaste</v>
      </c>
      <c r="C116" s="74">
        <v>13</v>
      </c>
      <c r="D116" s="67"/>
      <c r="G116" s="64"/>
      <c r="H116" s="64"/>
      <c r="K116" s="64"/>
      <c r="M116" s="67"/>
      <c r="N116" s="67"/>
    </row>
    <row r="117" spans="1:14">
      <c r="A117" s="83"/>
      <c r="B117" s="67"/>
      <c r="C117" s="67"/>
      <c r="D117" s="67"/>
      <c r="G117" s="64" t="str">
        <f>IF(COUNT(G103,G107)=2,IF(G103&lt;G107,C103,C107),"")</f>
        <v>Aarne Välja</v>
      </c>
      <c r="H117" s="67"/>
      <c r="K117" s="69">
        <v>11</v>
      </c>
      <c r="M117" s="67"/>
      <c r="N117" s="67"/>
    </row>
    <row r="118" ht="13.05" spans="1:14">
      <c r="A118" s="67"/>
      <c r="B118" s="67"/>
      <c r="C118" s="67"/>
      <c r="D118" s="67"/>
      <c r="G118" s="71"/>
      <c r="H118" s="71"/>
      <c r="I118" s="101"/>
      <c r="J118" s="102"/>
      <c r="K118" s="79"/>
      <c r="L118" s="88"/>
      <c r="M118" s="79" t="str">
        <f>IF(COUNT(K117,K119)=2,IF(K117&gt;K119,G117,G119),"")</f>
        <v>Meelis Luud</v>
      </c>
      <c r="N118" s="79"/>
    </row>
    <row r="119" spans="1:14">
      <c r="A119" s="67"/>
      <c r="B119" s="67"/>
      <c r="C119" s="67"/>
      <c r="D119" s="67"/>
      <c r="G119" s="79" t="str">
        <f>IF(COUNT(G111,G115)=2,IF(G111&lt;G115,C111,C115),"")</f>
        <v>Meelis Luud</v>
      </c>
      <c r="H119" s="79"/>
      <c r="I119" s="103"/>
      <c r="J119" s="104"/>
      <c r="K119" s="82">
        <v>13</v>
      </c>
      <c r="M119" s="105" t="s">
        <v>405</v>
      </c>
      <c r="N119" s="64"/>
    </row>
    <row r="120" spans="1:14">
      <c r="A120" s="67"/>
      <c r="B120" s="67"/>
      <c r="C120" s="67"/>
      <c r="D120" s="67"/>
      <c r="G120" s="67"/>
      <c r="H120" s="67"/>
      <c r="K120" s="67"/>
      <c r="M120" s="64"/>
      <c r="N120" s="64"/>
    </row>
    <row r="121" ht="13.05" spans="1:14">
      <c r="A121" s="67"/>
      <c r="B121" s="67"/>
      <c r="C121" s="67"/>
      <c r="D121" s="67"/>
      <c r="G121" s="64"/>
      <c r="H121" s="64"/>
      <c r="K121" s="67"/>
      <c r="M121" s="99" t="str">
        <f>IF(COUNT(K117,K119)=2,IF(K117&lt;K119,G117,G119),"")</f>
        <v>Aarne Välja</v>
      </c>
      <c r="N121" s="99"/>
    </row>
    <row r="122" spans="1:14">
      <c r="A122" s="67"/>
      <c r="B122" s="67"/>
      <c r="C122" s="67"/>
      <c r="D122" s="67"/>
      <c r="G122" s="67"/>
      <c r="H122" s="67"/>
      <c r="K122" s="67"/>
      <c r="M122" s="83" t="s">
        <v>406</v>
      </c>
      <c r="N122" s="67"/>
    </row>
    <row r="123" spans="1:14">
      <c r="A123" s="67"/>
      <c r="B123" s="68"/>
      <c r="C123" s="64" t="str">
        <f>IF(COUNT(C102,C104)=2,IF(C102&lt;C104,B102,B104),"")</f>
        <v>Vadim Tihhonjuk</v>
      </c>
      <c r="D123" s="67"/>
      <c r="G123" s="69">
        <v>9</v>
      </c>
      <c r="H123" s="69"/>
      <c r="I123" s="69"/>
      <c r="J123" s="67"/>
      <c r="K123" s="67"/>
      <c r="M123" s="67"/>
      <c r="N123" s="67"/>
    </row>
    <row r="124" spans="1:13">
      <c r="A124" s="67"/>
      <c r="B124" s="70"/>
      <c r="C124" s="84"/>
      <c r="D124" s="84"/>
      <c r="E124" s="85"/>
      <c r="F124" s="85"/>
      <c r="G124" s="86" t="str">
        <f>IF(COUNT(G123,G125)=2,IF(G123&gt;G125,C123,C125),"")</f>
        <v>Kenneth Muusikus</v>
      </c>
      <c r="H124" s="67"/>
      <c r="K124" s="69">
        <v>13</v>
      </c>
      <c r="L124" s="67"/>
      <c r="M124" s="67"/>
    </row>
    <row r="125" spans="1:14">
      <c r="A125" s="67"/>
      <c r="B125" s="70"/>
      <c r="C125" s="79" t="str">
        <f>IF(COUNT(C106,C108)=2,IF(C106&lt;C108,B106,B108),"")</f>
        <v>Kenneth Muusikus</v>
      </c>
      <c r="D125" s="87"/>
      <c r="E125" s="88"/>
      <c r="F125" s="88"/>
      <c r="G125" s="84">
        <v>13</v>
      </c>
      <c r="H125" s="84"/>
      <c r="I125" s="91"/>
      <c r="J125" s="106"/>
      <c r="K125" s="69"/>
      <c r="L125" s="67"/>
      <c r="M125" s="67"/>
      <c r="N125" s="107"/>
    </row>
    <row r="126" ht="13.05" spans="1:15">
      <c r="A126" s="67"/>
      <c r="B126" s="70"/>
      <c r="C126" s="69"/>
      <c r="D126" s="69"/>
      <c r="G126" s="89"/>
      <c r="H126" s="82"/>
      <c r="I126" s="108"/>
      <c r="J126" s="109"/>
      <c r="K126" s="69"/>
      <c r="M126" s="64" t="str">
        <f>IF(COUNT(K124,K128)=2,IF(K124&gt;K128,G124,G128),"")</f>
        <v>Kenneth Muusikus</v>
      </c>
      <c r="N126" s="67"/>
      <c r="O126" s="110"/>
    </row>
    <row r="127" spans="1:15">
      <c r="A127" s="67"/>
      <c r="B127" s="70"/>
      <c r="C127" s="64" t="str">
        <f>IF(COUNT(C110,C112)=2,IF(C110&lt;C112,B110,B112),"")</f>
        <v>Jaan Sepp</v>
      </c>
      <c r="D127" s="69"/>
      <c r="G127" s="90">
        <v>10</v>
      </c>
      <c r="H127" s="82"/>
      <c r="I127" s="108"/>
      <c r="J127" s="109"/>
      <c r="K127" s="84"/>
      <c r="L127" s="85"/>
      <c r="M127" s="97" t="s">
        <v>407</v>
      </c>
      <c r="N127" s="71"/>
      <c r="O127" s="110"/>
    </row>
    <row r="128" spans="1:15">
      <c r="A128" s="67"/>
      <c r="B128" s="70"/>
      <c r="C128" s="84"/>
      <c r="D128" s="84"/>
      <c r="E128" s="91"/>
      <c r="F128" s="92"/>
      <c r="G128" s="79" t="str">
        <f>IF(COUNT(G127,G129)=2,IF(G127&gt;G129,C127,C129),"")</f>
        <v>Viktor Švarõgin</v>
      </c>
      <c r="H128" s="79"/>
      <c r="I128" s="111"/>
      <c r="J128" s="112"/>
      <c r="K128" s="82">
        <v>12</v>
      </c>
      <c r="M128" s="67"/>
      <c r="N128" s="67"/>
      <c r="O128" s="113"/>
    </row>
    <row r="129" ht="13.05" spans="1:14">
      <c r="A129" s="67"/>
      <c r="B129" s="70"/>
      <c r="C129" s="79" t="str">
        <f>IF(COUNT(C114,C116)=2,IF(C114&lt;C116,B114,B116),"")</f>
        <v>Viktor Švarõgin</v>
      </c>
      <c r="D129" s="87"/>
      <c r="E129" s="111"/>
      <c r="F129" s="112"/>
      <c r="G129" s="74">
        <v>13</v>
      </c>
      <c r="H129" s="69"/>
      <c r="K129" s="82"/>
      <c r="M129" s="99" t="str">
        <f>IF(COUNT(K124,K128)=2,IF(K124&lt;K128,G124,G128),"")</f>
        <v>Viktor Švarõgin</v>
      </c>
      <c r="N129" s="99"/>
    </row>
    <row r="130" spans="1:14">
      <c r="A130" s="67"/>
      <c r="B130" s="67"/>
      <c r="C130" s="69"/>
      <c r="D130" s="69"/>
      <c r="G130" s="69"/>
      <c r="H130" s="69"/>
      <c r="K130" s="82"/>
      <c r="M130" s="100" t="s">
        <v>408</v>
      </c>
      <c r="N130" s="64"/>
    </row>
    <row r="131" spans="1:14">
      <c r="A131" s="67"/>
      <c r="B131" s="67"/>
      <c r="C131" s="69"/>
      <c r="D131" s="82"/>
      <c r="G131" s="64" t="str">
        <f>IF(COUNT(G123,G125)=2,IF(G123&lt;G125,C123,C125),"")</f>
        <v>Vadim Tihhonjuk</v>
      </c>
      <c r="H131" s="67"/>
      <c r="K131" s="69">
        <v>13</v>
      </c>
      <c r="M131" s="64"/>
      <c r="N131" s="64"/>
    </row>
    <row r="132" ht="13.05" spans="1:15">
      <c r="A132" s="67"/>
      <c r="B132" s="67"/>
      <c r="C132" s="69"/>
      <c r="D132" s="82"/>
      <c r="G132" s="71"/>
      <c r="H132" s="71"/>
      <c r="I132" s="91"/>
      <c r="J132" s="106"/>
      <c r="K132" s="79"/>
      <c r="L132" s="88"/>
      <c r="M132" s="79" t="str">
        <f>IF(COUNT(K131,K133)=2,IF(K131&gt;K133,G131,G133),"")</f>
        <v>Vadim Tihhonjuk</v>
      </c>
      <c r="N132" s="79"/>
      <c r="O132" s="107"/>
    </row>
    <row r="133" spans="1:15">
      <c r="A133" s="67"/>
      <c r="B133" s="67"/>
      <c r="C133" s="69"/>
      <c r="D133" s="82"/>
      <c r="G133" s="79" t="str">
        <f>IF(COUNT(G127,G129)=2,IF(G127&lt;G129,C127,C129),"")</f>
        <v>Jaan Sepp</v>
      </c>
      <c r="H133" s="79"/>
      <c r="I133" s="111"/>
      <c r="J133" s="112"/>
      <c r="K133" s="82">
        <v>6</v>
      </c>
      <c r="M133" s="105" t="s">
        <v>409</v>
      </c>
      <c r="N133" s="64"/>
      <c r="O133" s="113"/>
    </row>
    <row r="134" spans="1:14">
      <c r="A134" s="67"/>
      <c r="B134" s="67"/>
      <c r="C134" s="67"/>
      <c r="D134" s="64"/>
      <c r="G134" s="67"/>
      <c r="H134" s="67"/>
      <c r="K134" s="67"/>
      <c r="M134" s="64"/>
      <c r="N134" s="64"/>
    </row>
    <row r="135" ht="13.05" spans="1:14">
      <c r="A135" s="67"/>
      <c r="B135" s="67"/>
      <c r="C135" s="67"/>
      <c r="D135" s="67"/>
      <c r="G135" s="64"/>
      <c r="H135" s="64"/>
      <c r="K135" s="67"/>
      <c r="M135" s="99" t="str">
        <f>IF(COUNT(K131,K133)=2,IF(K131&lt;K133,G131,G133),"")</f>
        <v>Jaan Sepp</v>
      </c>
      <c r="N135" s="99"/>
    </row>
    <row r="136" spans="1:14">
      <c r="A136" s="105"/>
      <c r="B136" s="64"/>
      <c r="C136" s="65"/>
      <c r="D136" s="65"/>
      <c r="G136" s="65"/>
      <c r="H136" s="65"/>
      <c r="K136" s="66"/>
      <c r="M136" s="100" t="s">
        <v>410</v>
      </c>
      <c r="N136" s="67"/>
    </row>
    <row r="138" spans="1:1">
      <c r="A138" s="63" t="s">
        <v>411</v>
      </c>
    </row>
    <row r="140" spans="1:13">
      <c r="A140" s="67"/>
      <c r="B140" s="68">
        <v>9</v>
      </c>
      <c r="C140" s="67" t="str">
        <f>IFERROR(INDEX(B$1:B$100,MATCH(B140,A$1:A$100,0)),"")</f>
        <v>Henri Mitt</v>
      </c>
      <c r="D140" s="67"/>
      <c r="G140" s="69">
        <v>9</v>
      </c>
      <c r="H140" s="69"/>
      <c r="M140" s="69"/>
    </row>
    <row r="141" spans="1:14">
      <c r="A141" s="67"/>
      <c r="B141" s="70"/>
      <c r="C141" s="71"/>
      <c r="D141" s="84"/>
      <c r="E141" s="85"/>
      <c r="F141" s="95"/>
      <c r="G141" s="72" t="str">
        <f>IF(COUNT(G140,G142)=2,IF(G140&gt;G142,C140,C142),"")</f>
        <v>Urmas Jõeäär</v>
      </c>
      <c r="H141" s="67"/>
      <c r="K141" s="69">
        <v>11</v>
      </c>
      <c r="M141" s="67"/>
      <c r="N141" s="67"/>
    </row>
    <row r="142" spans="1:14">
      <c r="A142" s="67"/>
      <c r="B142" s="70">
        <v>12</v>
      </c>
      <c r="C142" s="67" t="str">
        <f>IFERROR(INDEX(B$1:B$100,MATCH(B142,A$1:A$100,0)),"")</f>
        <v>Urmas Jõeäär</v>
      </c>
      <c r="D142" s="87"/>
      <c r="E142" s="88"/>
      <c r="F142" s="98"/>
      <c r="G142" s="74">
        <v>13</v>
      </c>
      <c r="H142" s="84"/>
      <c r="I142" s="85"/>
      <c r="J142" s="95"/>
      <c r="K142" s="69"/>
      <c r="M142" s="67"/>
      <c r="N142" s="67"/>
    </row>
    <row r="143" spans="1:14">
      <c r="A143" s="67"/>
      <c r="B143" s="70"/>
      <c r="C143" s="67"/>
      <c r="D143" s="69"/>
      <c r="G143" s="67"/>
      <c r="H143" s="82"/>
      <c r="J143" s="96"/>
      <c r="K143" s="69"/>
      <c r="M143" s="64" t="str">
        <f>IF(COUNT(K141,K145)=2,IF(K141&gt;K145,G141,G145),"")</f>
        <v>Jaan Saar</v>
      </c>
      <c r="N143" s="67"/>
    </row>
    <row r="144" spans="1:14">
      <c r="A144" s="67"/>
      <c r="B144" s="70">
        <v>10</v>
      </c>
      <c r="C144" s="67" t="str">
        <f>IFERROR(INDEX(B$1:B$100,MATCH(B144,A$1:A$100,0)),"")</f>
        <v>Sirje Maala</v>
      </c>
      <c r="D144" s="69"/>
      <c r="G144" s="69">
        <v>11</v>
      </c>
      <c r="H144" s="82"/>
      <c r="J144" s="96"/>
      <c r="K144" s="84"/>
      <c r="L144" s="85"/>
      <c r="M144" s="97" t="s">
        <v>412</v>
      </c>
      <c r="N144" s="71"/>
    </row>
    <row r="145" spans="1:14">
      <c r="A145" s="67"/>
      <c r="B145" s="70"/>
      <c r="C145" s="71"/>
      <c r="D145" s="84"/>
      <c r="E145" s="85"/>
      <c r="F145" s="95"/>
      <c r="G145" s="72" t="str">
        <f>IF(COUNT(G144,G146)=2,IF(G144&gt;G146,C144,C146),"")</f>
        <v>Jaan Saar</v>
      </c>
      <c r="H145" s="79"/>
      <c r="I145" s="88"/>
      <c r="J145" s="98"/>
      <c r="K145" s="82">
        <v>13</v>
      </c>
      <c r="M145" s="67"/>
      <c r="N145" s="67"/>
    </row>
    <row r="146" ht="13.05" spans="1:14">
      <c r="A146" s="67"/>
      <c r="B146" s="70">
        <v>11</v>
      </c>
      <c r="C146" s="67" t="str">
        <f>IFERROR(INDEX(B$1:B$100,MATCH(B146,A$1:A$100,0)),"")</f>
        <v>Jaan Saar</v>
      </c>
      <c r="D146" s="87"/>
      <c r="E146" s="88"/>
      <c r="F146" s="98"/>
      <c r="G146" s="74">
        <v>13</v>
      </c>
      <c r="H146" s="69"/>
      <c r="K146" s="82"/>
      <c r="M146" s="99" t="str">
        <f>IF(COUNT(K141,K145)=2,IF(K141&lt;K145,G141,G145),"")</f>
        <v>Urmas Jõeäär</v>
      </c>
      <c r="N146" s="99"/>
    </row>
    <row r="147" spans="1:14">
      <c r="A147" s="67"/>
      <c r="B147" s="67"/>
      <c r="C147" s="69"/>
      <c r="D147" s="69"/>
      <c r="G147" s="69"/>
      <c r="H147" s="69"/>
      <c r="K147" s="82"/>
      <c r="M147" s="100" t="s">
        <v>413</v>
      </c>
      <c r="N147" s="64"/>
    </row>
    <row r="148" spans="1:14">
      <c r="A148" s="67"/>
      <c r="B148" s="67"/>
      <c r="C148" s="69"/>
      <c r="D148" s="82"/>
      <c r="G148" s="64" t="str">
        <f>IF(COUNT(G140,G142)=2,IF(G140&lt;G142,C140,C142),"")</f>
        <v>Henri Mitt</v>
      </c>
      <c r="H148" s="67"/>
      <c r="K148" s="69">
        <v>13</v>
      </c>
      <c r="M148" s="64"/>
      <c r="N148" s="64"/>
    </row>
    <row r="149" spans="1:14">
      <c r="A149" s="67"/>
      <c r="B149" s="67"/>
      <c r="C149" s="69"/>
      <c r="D149" s="82"/>
      <c r="G149" s="71"/>
      <c r="H149" s="71"/>
      <c r="I149" s="85"/>
      <c r="J149" s="95"/>
      <c r="K149" s="79"/>
      <c r="L149" s="88"/>
      <c r="M149" s="79" t="str">
        <f>IF(COUNT(K148,K150)=2,IF(K148&gt;K150,G148,G150),"")</f>
        <v>Henri Mitt</v>
      </c>
      <c r="N149" s="79"/>
    </row>
    <row r="150" spans="1:14">
      <c r="A150" s="67"/>
      <c r="B150" s="67"/>
      <c r="C150" s="69"/>
      <c r="D150" s="82"/>
      <c r="G150" s="79" t="str">
        <f>IF(COUNT(G144,G146)=2,IF(G144&lt;G146,C144,C146),"")</f>
        <v>Sirje Maala</v>
      </c>
      <c r="H150" s="79"/>
      <c r="I150" s="88"/>
      <c r="J150" s="98"/>
      <c r="K150" s="82">
        <v>11</v>
      </c>
      <c r="M150" s="105" t="s">
        <v>414</v>
      </c>
      <c r="N150" s="64"/>
    </row>
    <row r="151" spans="1:14">
      <c r="A151" s="67"/>
      <c r="B151" s="67"/>
      <c r="C151" s="67"/>
      <c r="D151" s="64"/>
      <c r="G151" s="67"/>
      <c r="H151" s="67"/>
      <c r="K151" s="67"/>
      <c r="M151" s="64"/>
      <c r="N151" s="64"/>
    </row>
    <row r="152" ht="13.05" spans="1:14">
      <c r="A152" s="67"/>
      <c r="B152" s="67"/>
      <c r="C152" s="67"/>
      <c r="D152" s="67"/>
      <c r="G152" s="64"/>
      <c r="H152" s="64"/>
      <c r="I152" s="67"/>
      <c r="M152" s="99" t="str">
        <f>IF(COUNT(K148,K150)=2,IF(K148&lt;K150,G148,G150),"")</f>
        <v>Sirje Maala</v>
      </c>
      <c r="N152" s="99"/>
    </row>
    <row r="153" spans="1:14">
      <c r="A153" s="105"/>
      <c r="B153" s="64"/>
      <c r="C153" s="65"/>
      <c r="D153" s="65"/>
      <c r="G153" s="65"/>
      <c r="H153" s="65"/>
      <c r="I153" s="66"/>
      <c r="M153" s="100" t="s">
        <v>415</v>
      </c>
      <c r="N153" s="67"/>
    </row>
    <row r="155" spans="1:1">
      <c r="A155" s="63" t="s">
        <v>416</v>
      </c>
    </row>
    <row r="157" spans="1:13">
      <c r="A157" s="67"/>
      <c r="B157" s="68">
        <v>13</v>
      </c>
      <c r="C157" s="67" t="str">
        <f>IFERROR(INDEX(B$1:B$100,MATCH(B157,A$1:A$100,0)),"")</f>
        <v>Sander Rose</v>
      </c>
      <c r="D157" s="67"/>
      <c r="G157" s="69">
        <v>11</v>
      </c>
      <c r="H157" s="69"/>
      <c r="M157" s="69"/>
    </row>
    <row r="158" spans="1:14">
      <c r="A158" s="67"/>
      <c r="B158" s="70"/>
      <c r="C158" s="71"/>
      <c r="D158" s="84"/>
      <c r="E158" s="85"/>
      <c r="F158" s="95"/>
      <c r="G158" s="72" t="str">
        <f>IF(COUNT(G157,G159)=2,IF(G157&gt;G159,C157,C159),"")</f>
        <v>Andrei Grintšak</v>
      </c>
      <c r="H158" s="67"/>
      <c r="K158" s="69">
        <v>11</v>
      </c>
      <c r="M158" s="67"/>
      <c r="N158" s="67"/>
    </row>
    <row r="159" spans="1:14">
      <c r="A159" s="67"/>
      <c r="B159" s="70">
        <v>16</v>
      </c>
      <c r="C159" s="67" t="str">
        <f>IFERROR(INDEX(B$1:B$100,MATCH(B159,A$1:A$100,0)),"")</f>
        <v>Andrei Grintšak</v>
      </c>
      <c r="D159" s="87"/>
      <c r="E159" s="88"/>
      <c r="F159" s="98"/>
      <c r="G159" s="74">
        <v>13</v>
      </c>
      <c r="H159" s="84"/>
      <c r="I159" s="85"/>
      <c r="J159" s="95"/>
      <c r="K159" s="69"/>
      <c r="M159" s="67"/>
      <c r="N159" s="67"/>
    </row>
    <row r="160" spans="1:14">
      <c r="A160" s="67"/>
      <c r="B160" s="70"/>
      <c r="C160" s="67"/>
      <c r="D160" s="69"/>
      <c r="G160" s="67"/>
      <c r="H160" s="82"/>
      <c r="J160" s="96"/>
      <c r="K160" s="69"/>
      <c r="M160" s="64" t="str">
        <f>IF(COUNT(K158,K162)=2,IF(K158&gt;K162,G158,G162),"")</f>
        <v>Enn Tokman</v>
      </c>
      <c r="N160" s="67"/>
    </row>
    <row r="161" spans="1:14">
      <c r="A161" s="67"/>
      <c r="B161" s="70">
        <v>14</v>
      </c>
      <c r="C161" s="67" t="str">
        <f>IFERROR(INDEX(B$1:B$100,MATCH(B161,A$1:A$100,0)),"")</f>
        <v>Andres Veski</v>
      </c>
      <c r="D161" s="69"/>
      <c r="G161" s="69">
        <v>4</v>
      </c>
      <c r="H161" s="82"/>
      <c r="J161" s="96"/>
      <c r="K161" s="84"/>
      <c r="L161" s="85"/>
      <c r="M161" s="97" t="s">
        <v>417</v>
      </c>
      <c r="N161" s="71"/>
    </row>
    <row r="162" spans="1:14">
      <c r="A162" s="67"/>
      <c r="B162" s="70"/>
      <c r="C162" s="71"/>
      <c r="D162" s="84"/>
      <c r="E162" s="85"/>
      <c r="F162" s="95"/>
      <c r="G162" s="72" t="str">
        <f>IF(COUNT(G161,G163)=2,IF(G161&gt;G163,C161,C163),"")</f>
        <v>Enn Tokman</v>
      </c>
      <c r="H162" s="79"/>
      <c r="I162" s="88"/>
      <c r="J162" s="98"/>
      <c r="K162" s="82">
        <v>13</v>
      </c>
      <c r="M162" s="67"/>
      <c r="N162" s="67"/>
    </row>
    <row r="163" ht="13.05" spans="1:14">
      <c r="A163" s="67"/>
      <c r="B163" s="70">
        <v>15</v>
      </c>
      <c r="C163" s="67" t="str">
        <f>IFERROR(INDEX(B$1:B$100,MATCH(B163,A$1:A$100,0)),"")</f>
        <v>Enn Tokman</v>
      </c>
      <c r="D163" s="87"/>
      <c r="E163" s="88"/>
      <c r="F163" s="98"/>
      <c r="G163" s="74">
        <v>13</v>
      </c>
      <c r="H163" s="69"/>
      <c r="K163" s="82"/>
      <c r="M163" s="99" t="str">
        <f>IF(COUNT(K158,K162)=2,IF(K158&lt;K162,G158,G162),"")</f>
        <v>Andrei Grintšak</v>
      </c>
      <c r="N163" s="99"/>
    </row>
    <row r="164" spans="1:14">
      <c r="A164" s="67"/>
      <c r="B164" s="67"/>
      <c r="C164" s="69"/>
      <c r="D164" s="69"/>
      <c r="G164" s="69"/>
      <c r="H164" s="69"/>
      <c r="K164" s="82"/>
      <c r="M164" s="100" t="s">
        <v>418</v>
      </c>
      <c r="N164" s="64"/>
    </row>
    <row r="165" spans="1:14">
      <c r="A165" s="67"/>
      <c r="B165" s="67"/>
      <c r="C165" s="69"/>
      <c r="D165" s="82"/>
      <c r="G165" s="64" t="str">
        <f>IF(COUNT(G157,G159)=2,IF(G157&lt;G159,C157,C159),"")</f>
        <v>Sander Rose</v>
      </c>
      <c r="H165" s="67"/>
      <c r="K165" s="69">
        <v>6</v>
      </c>
      <c r="M165" s="64"/>
      <c r="N165" s="64"/>
    </row>
    <row r="166" spans="1:14">
      <c r="A166" s="67"/>
      <c r="B166" s="67"/>
      <c r="C166" s="69"/>
      <c r="D166" s="82"/>
      <c r="G166" s="71"/>
      <c r="H166" s="71"/>
      <c r="I166" s="85"/>
      <c r="J166" s="95"/>
      <c r="K166" s="79"/>
      <c r="L166" s="88"/>
      <c r="M166" s="79" t="str">
        <f>IF(COUNT(K165,K167)=2,IF(K165&gt;K167,G165,G167),"")</f>
        <v>Andres Veski</v>
      </c>
      <c r="N166" s="79"/>
    </row>
    <row r="167" spans="1:14">
      <c r="A167" s="67"/>
      <c r="B167" s="67"/>
      <c r="C167" s="69"/>
      <c r="D167" s="82"/>
      <c r="G167" s="79" t="str">
        <f>IF(COUNT(G161,G163)=2,IF(G161&lt;G163,C161,C163),"")</f>
        <v>Andres Veski</v>
      </c>
      <c r="H167" s="79"/>
      <c r="I167" s="88"/>
      <c r="J167" s="98"/>
      <c r="K167" s="82">
        <v>13</v>
      </c>
      <c r="M167" s="105" t="s">
        <v>419</v>
      </c>
      <c r="N167" s="64"/>
    </row>
    <row r="168" spans="1:14">
      <c r="A168" s="67"/>
      <c r="B168" s="67"/>
      <c r="C168" s="67"/>
      <c r="D168" s="64"/>
      <c r="G168" s="67"/>
      <c r="H168" s="67"/>
      <c r="K168" s="67"/>
      <c r="M168" s="64"/>
      <c r="N168" s="64"/>
    </row>
    <row r="169" ht="13.05" spans="1:14">
      <c r="A169" s="67"/>
      <c r="B169" s="67"/>
      <c r="C169" s="67"/>
      <c r="D169" s="67"/>
      <c r="G169" s="64"/>
      <c r="H169" s="64"/>
      <c r="I169" s="67"/>
      <c r="M169" s="99" t="str">
        <f>IF(COUNT(K165,K167)=2,IF(K165&lt;K167,G165,G167),"")</f>
        <v>Sander Rose</v>
      </c>
      <c r="N169" s="99"/>
    </row>
    <row r="170" spans="1:14">
      <c r="A170" s="105"/>
      <c r="B170" s="64"/>
      <c r="C170" s="65"/>
      <c r="D170" s="65"/>
      <c r="G170" s="65"/>
      <c r="H170" s="65"/>
      <c r="I170" s="66"/>
      <c r="M170" s="100" t="s">
        <v>420</v>
      </c>
      <c r="N170" s="67"/>
    </row>
    <row r="172" spans="1:1">
      <c r="A172" s="63" t="s">
        <v>421</v>
      </c>
    </row>
    <row r="174" spans="1:13">
      <c r="A174" s="67"/>
      <c r="B174" s="68">
        <v>17</v>
      </c>
      <c r="C174" s="67" t="str">
        <f>IFERROR(INDEX(B$1:B$100,MATCH(B174,A$1:A$100,0)),"")</f>
        <v>Sirje Viljaste</v>
      </c>
      <c r="D174" s="67"/>
      <c r="G174" s="69">
        <v>13</v>
      </c>
      <c r="H174" s="69"/>
      <c r="M174" s="69"/>
    </row>
    <row r="175" spans="1:14">
      <c r="A175" s="67"/>
      <c r="B175" s="70"/>
      <c r="C175" s="71"/>
      <c r="D175" s="84"/>
      <c r="E175" s="85"/>
      <c r="F175" s="95"/>
      <c r="G175" s="72" t="str">
        <f>IF(COUNT(G174,G176)=2,IF(G174&gt;G176,C174,C176),"")</f>
        <v>Sirje Viljaste</v>
      </c>
      <c r="H175" s="67"/>
      <c r="K175" s="69">
        <v>8</v>
      </c>
      <c r="M175" s="67"/>
      <c r="N175" s="67"/>
    </row>
    <row r="176" spans="1:14">
      <c r="A176" s="67"/>
      <c r="B176" s="70">
        <v>20</v>
      </c>
      <c r="C176" s="114" t="str">
        <f>IFERROR(INDEX(B$1:B$100,MATCH(B176,A$1:A$100,0)),"")</f>
        <v/>
      </c>
      <c r="D176" s="87"/>
      <c r="E176" s="88"/>
      <c r="F176" s="98"/>
      <c r="G176" s="74">
        <v>0</v>
      </c>
      <c r="H176" s="84"/>
      <c r="I176" s="85"/>
      <c r="J176" s="95"/>
      <c r="K176" s="69"/>
      <c r="M176" s="67"/>
      <c r="N176" s="67"/>
    </row>
    <row r="177" spans="1:14">
      <c r="A177" s="67"/>
      <c r="B177" s="70"/>
      <c r="C177" s="67"/>
      <c r="D177" s="69"/>
      <c r="G177" s="67"/>
      <c r="H177" s="82"/>
      <c r="J177" s="96"/>
      <c r="K177" s="69"/>
      <c r="M177" s="64" t="str">
        <f>IF(COUNT(K175,K179)=2,IF(K175&gt;K179,G175,G179),"")</f>
        <v>Kristel Tihhonjuk</v>
      </c>
      <c r="N177" s="67"/>
    </row>
    <row r="178" spans="1:14">
      <c r="A178" s="67"/>
      <c r="B178" s="70">
        <v>18</v>
      </c>
      <c r="C178" s="67" t="str">
        <f>IFERROR(INDEX(B$1:B$100,MATCH(B178,A$1:A$100,0)),"")</f>
        <v>Kristel Tihhonjuk</v>
      </c>
      <c r="D178" s="69"/>
      <c r="G178" s="69">
        <v>13</v>
      </c>
      <c r="H178" s="82"/>
      <c r="J178" s="96"/>
      <c r="K178" s="84"/>
      <c r="L178" s="85"/>
      <c r="M178" s="97" t="s">
        <v>422</v>
      </c>
      <c r="N178" s="71"/>
    </row>
    <row r="179" spans="1:14">
      <c r="A179" s="67"/>
      <c r="B179" s="70"/>
      <c r="C179" s="71"/>
      <c r="D179" s="84"/>
      <c r="E179" s="85"/>
      <c r="F179" s="95"/>
      <c r="G179" s="72" t="str">
        <f>IF(COUNT(G178,G180)=2,IF(G178&gt;G180,C178,C180),"")</f>
        <v>Kristel Tihhonjuk</v>
      </c>
      <c r="H179" s="79"/>
      <c r="I179" s="88"/>
      <c r="J179" s="98"/>
      <c r="K179" s="82">
        <v>13</v>
      </c>
      <c r="M179" s="67"/>
      <c r="N179" s="67"/>
    </row>
    <row r="180" ht="13.05" spans="1:14">
      <c r="A180" s="67"/>
      <c r="B180" s="70">
        <v>19</v>
      </c>
      <c r="C180" s="114" t="str">
        <f>IFERROR(INDEX(B$1:B$100,MATCH(B180,A$1:A$100,0)),"")</f>
        <v>Vello Vasser</v>
      </c>
      <c r="D180" s="87"/>
      <c r="E180" s="88"/>
      <c r="F180" s="98"/>
      <c r="G180" s="74">
        <v>2</v>
      </c>
      <c r="H180" s="69"/>
      <c r="K180" s="82"/>
      <c r="M180" s="99" t="str">
        <f>IF(COUNT(K175,K179)=2,IF(K175&lt;K179,G175,G179),"")</f>
        <v>Sirje Viljaste</v>
      </c>
      <c r="N180" s="99"/>
    </row>
    <row r="181" spans="1:14">
      <c r="A181" s="67"/>
      <c r="B181" s="67"/>
      <c r="C181" s="69"/>
      <c r="D181" s="69"/>
      <c r="G181" s="69"/>
      <c r="H181" s="69"/>
      <c r="K181" s="82"/>
      <c r="M181" s="100" t="s">
        <v>423</v>
      </c>
      <c r="N181" s="64"/>
    </row>
    <row r="182" spans="1:14">
      <c r="A182" s="67"/>
      <c r="B182" s="67"/>
      <c r="C182" s="69"/>
      <c r="D182" s="82"/>
      <c r="G182" s="64" t="str">
        <f>IF(COUNT(G174,G176)=2,IF(G174&lt;G176,C174,C176),"")</f>
        <v/>
      </c>
      <c r="H182" s="67"/>
      <c r="K182" s="69">
        <v>0</v>
      </c>
      <c r="M182" s="64"/>
      <c r="N182" s="64"/>
    </row>
    <row r="183" spans="1:14">
      <c r="A183" s="67"/>
      <c r="B183" s="67"/>
      <c r="C183" s="69"/>
      <c r="D183" s="82"/>
      <c r="G183" s="71"/>
      <c r="H183" s="71"/>
      <c r="I183" s="85"/>
      <c r="J183" s="95"/>
      <c r="K183" s="79"/>
      <c r="L183" s="88"/>
      <c r="M183" s="79" t="str">
        <f>IF(COUNT(K182,K184)=2,IF(K182&gt;K184,G182,G184),"")</f>
        <v>Vello Vasser</v>
      </c>
      <c r="N183" s="79"/>
    </row>
    <row r="184" spans="1:14">
      <c r="A184" s="67"/>
      <c r="B184" s="67"/>
      <c r="C184" s="69"/>
      <c r="D184" s="82"/>
      <c r="G184" s="79" t="str">
        <f>IF(COUNT(G178,G180)=2,IF(G178&lt;G180,C178,C180),"")</f>
        <v>Vello Vasser</v>
      </c>
      <c r="H184" s="79"/>
      <c r="I184" s="88"/>
      <c r="J184" s="98"/>
      <c r="K184" s="82">
        <v>13</v>
      </c>
      <c r="M184" s="105" t="s">
        <v>424</v>
      </c>
      <c r="N184" s="64"/>
    </row>
    <row r="185" spans="1:14">
      <c r="A185" s="67"/>
      <c r="B185" s="67"/>
      <c r="C185" s="67"/>
      <c r="D185" s="64"/>
      <c r="G185" s="67"/>
      <c r="H185" s="67"/>
      <c r="K185" s="67"/>
      <c r="M185" s="64"/>
      <c r="N185" s="64"/>
    </row>
    <row r="186" ht="13.05" spans="1:14">
      <c r="A186" s="67"/>
      <c r="B186" s="67"/>
      <c r="C186" s="67"/>
      <c r="D186" s="67"/>
      <c r="G186" s="64"/>
      <c r="H186" s="64"/>
      <c r="I186" s="67"/>
      <c r="M186" s="99" t="str">
        <f>IF(COUNT(K182,K184)=2,IF(K182&lt;K184,G182,G184),"")</f>
        <v/>
      </c>
      <c r="N186" s="99"/>
    </row>
    <row r="187" spans="1:14">
      <c r="A187" s="105"/>
      <c r="B187" s="64"/>
      <c r="C187" s="65"/>
      <c r="D187" s="65"/>
      <c r="G187" s="65"/>
      <c r="H187" s="65"/>
      <c r="I187" s="66"/>
      <c r="M187" s="100"/>
      <c r="N187" s="67"/>
    </row>
    <row r="189" hidden="1"/>
    <row r="190" hidden="1"/>
    <row r="191" hidden="1"/>
    <row r="192" hidden="1"/>
    <row r="193" hidden="1"/>
    <row r="194" hidden="1"/>
    <row r="195" hidden="1"/>
    <row r="196" hidden="1"/>
    <row r="197" hidden="1"/>
    <row r="198" hidden="1"/>
    <row r="199" hidden="1"/>
    <row r="200" hidden="1"/>
    <row r="201" hidden="1"/>
    <row r="202" hidden="1"/>
    <row r="203" hidden="1"/>
    <row r="204" hidden="1"/>
    <row r="205" hidden="1"/>
    <row r="206" hidden="1"/>
    <row r="207" hidden="1"/>
    <row r="208" hidden="1"/>
    <row r="209" hidden="1"/>
    <row r="210" hidden="1"/>
    <row r="211" hidden="1"/>
    <row r="212" hidden="1"/>
    <row r="213" hidden="1"/>
    <row r="214" hidden="1"/>
    <row r="215" hidden="1"/>
    <row r="216" hidden="1"/>
    <row r="217" hidden="1"/>
    <row r="218" hidden="1"/>
    <row r="219" hidden="1"/>
    <row r="220" hidden="1"/>
    <row r="221" hidden="1"/>
    <row r="222" hidden="1"/>
    <row r="223" hidden="1"/>
    <row r="224" hidden="1"/>
    <row r="225" hidden="1"/>
    <row r="226" hidden="1"/>
    <row r="227" hidden="1"/>
    <row r="228" hidden="1"/>
    <row r="229" hidden="1"/>
    <row r="230" hidden="1"/>
    <row r="231" hidden="1"/>
    <row r="232" hidden="1"/>
    <row r="233" hidden="1"/>
    <row r="234" hidden="1"/>
    <row r="235" hidden="1"/>
    <row r="236" hidden="1"/>
    <row r="237" hidden="1"/>
    <row r="238" hidden="1"/>
    <row r="239" hidden="1"/>
    <row r="240" hidden="1"/>
    <row r="241" hidden="1"/>
    <row r="242" hidden="1"/>
    <row r="243" hidden="1"/>
    <row r="244" hidden="1"/>
    <row r="245" hidden="1"/>
    <row r="246" hidden="1"/>
    <row r="247" hidden="1"/>
    <row r="248" hidden="1"/>
    <row r="249" hidden="1"/>
    <row r="250" hidden="1"/>
    <row r="251" hidden="1"/>
    <row r="252" hidden="1"/>
    <row r="253" hidden="1"/>
    <row r="254" hidden="1"/>
    <row r="255" hidden="1"/>
    <row r="256" hidden="1"/>
    <row r="257" hidden="1"/>
    <row r="258" hidden="1"/>
    <row r="259" hidden="1"/>
    <row r="260" hidden="1"/>
    <row r="261" hidden="1"/>
    <row r="262" hidden="1"/>
    <row r="263" hidden="1"/>
    <row r="264" hidden="1"/>
    <row r="265" hidden="1"/>
    <row r="266" hidden="1"/>
    <row r="267" hidden="1"/>
    <row r="268" hidden="1"/>
    <row r="269" hidden="1"/>
    <row r="270" hidden="1"/>
    <row r="271" hidden="1"/>
    <row r="272" hidden="1"/>
    <row r="273" hidden="1"/>
    <row r="274" hidden="1"/>
    <row r="275" hidden="1"/>
    <row r="276" hidden="1"/>
    <row r="277" hidden="1"/>
    <row r="278" hidden="1"/>
    <row r="279" hidden="1"/>
    <row r="280" hidden="1"/>
    <row r="281" hidden="1"/>
    <row r="282" hidden="1"/>
    <row r="283" hidden="1"/>
    <row r="284" hidden="1"/>
    <row r="285" hidden="1"/>
    <row r="286" hidden="1"/>
    <row r="287" hidden="1"/>
    <row r="288" hidden="1"/>
    <row r="289" hidden="1"/>
    <row r="290" hidden="1"/>
    <row r="291" hidden="1"/>
    <row r="292" hidden="1"/>
    <row r="293" hidden="1"/>
    <row r="294" hidden="1"/>
    <row r="295" hidden="1"/>
    <row r="296" hidden="1"/>
    <row r="297" hidden="1"/>
    <row r="298" hidden="1"/>
    <row r="299" hidden="1" spans="1:6">
      <c r="A299" s="6"/>
      <c r="B299" s="6"/>
      <c r="C299" s="49"/>
      <c r="F299" s="50"/>
    </row>
    <row r="300" spans="1:2">
      <c r="A300" s="115">
        <v>1</v>
      </c>
      <c r="B300" s="116" t="str">
        <f>IFERROR(INDEX(M$100:M$300,MATCH(A300&amp;". koht",M$101:M$301,0)),"")</f>
        <v>Ivar Viljaste</v>
      </c>
    </row>
    <row r="301" spans="1:2">
      <c r="A301" s="115">
        <v>2</v>
      </c>
      <c r="B301" s="116" t="str">
        <f>IFERROR(INDEX(M$100:M$300,MATCH(A301&amp;". koht",M$101:M$301,0)),"")</f>
        <v>Olav Türk</v>
      </c>
    </row>
    <row r="302" spans="1:2">
      <c r="A302" s="115">
        <v>3</v>
      </c>
      <c r="B302" s="116" t="str">
        <f>IFERROR(INDEX(M$100:M$300,MATCH(A302&amp;". koht",M$101:M$301,0)),"")</f>
        <v>Meelis Luud</v>
      </c>
    </row>
    <row r="303" spans="1:2">
      <c r="A303" s="115">
        <v>4</v>
      </c>
      <c r="B303" s="116" t="str">
        <f>IFERROR(INDEX(M$100:M$300,MATCH(A303&amp;". koht",M$101:M$301,0)),"")</f>
        <v>Aarne Välja</v>
      </c>
    </row>
    <row r="304" spans="1:2">
      <c r="A304" s="115">
        <v>5</v>
      </c>
      <c r="B304" s="116" t="str">
        <f>IFERROR(INDEX(M$100:M$300,MATCH(A304&amp;". koht",M$101:M$301,0)),"")</f>
        <v>Kenneth Muusikus</v>
      </c>
    </row>
    <row r="305" spans="1:2">
      <c r="A305" s="115">
        <v>6</v>
      </c>
      <c r="B305" s="116" t="str">
        <f>IFERROR(INDEX(M$100:M$300,MATCH(A305&amp;". koht",M$101:M$301,0)),"")</f>
        <v>Viktor Švarõgin</v>
      </c>
    </row>
    <row r="306" spans="1:2">
      <c r="A306" s="115">
        <v>7</v>
      </c>
      <c r="B306" s="116" t="str">
        <f>IFERROR(INDEX(M$100:M$300,MATCH(A306&amp;". koht",M$101:M$301,0)),"")</f>
        <v>Vadim Tihhonjuk</v>
      </c>
    </row>
    <row r="307" spans="1:2">
      <c r="A307" s="115">
        <v>8</v>
      </c>
      <c r="B307" s="116" t="str">
        <f>IFERROR(INDEX(M$100:M$300,MATCH(A307&amp;". koht",M$101:M$301,0)),"")</f>
        <v>Jaan Sepp</v>
      </c>
    </row>
    <row r="308" spans="1:2">
      <c r="A308" s="115">
        <v>9</v>
      </c>
      <c r="B308" s="116" t="str">
        <f>IFERROR(INDEX(M$100:M$300,MATCH(A308&amp;". koht",M$101:M$301,0)),"")</f>
        <v>Jaan Saar</v>
      </c>
    </row>
    <row r="309" spans="1:2">
      <c r="A309" s="115">
        <v>10</v>
      </c>
      <c r="B309" s="116" t="str">
        <f>IFERROR(INDEX(M$100:M$300,MATCH(A309&amp;". koht",M$101:M$301,0)),"")</f>
        <v>Urmas Jõeäär</v>
      </c>
    </row>
    <row r="310" spans="1:2">
      <c r="A310" s="115">
        <v>11</v>
      </c>
      <c r="B310" s="116" t="str">
        <f>IFERROR(INDEX(M$100:M$300,MATCH(A310&amp;". koht",M$101:M$301,0)),"")</f>
        <v>Henri Mitt</v>
      </c>
    </row>
    <row r="311" spans="1:3">
      <c r="A311" s="115">
        <v>12</v>
      </c>
      <c r="B311" s="116" t="str">
        <f>IFERROR(INDEX(M$100:M$300,MATCH(A311&amp;". koht",M$101:M$301,0)),"")</f>
        <v>Sirje Maala</v>
      </c>
      <c r="C311" s="53"/>
    </row>
    <row r="312" spans="1:3">
      <c r="A312" s="115">
        <v>13</v>
      </c>
      <c r="B312" s="116" t="str">
        <f>IFERROR(INDEX(M$100:M$300,MATCH(A312&amp;". koht",M$101:M$301,0)),"")</f>
        <v>Enn Tokman</v>
      </c>
      <c r="C312" s="53"/>
    </row>
    <row r="313" spans="1:3">
      <c r="A313" s="115">
        <v>14</v>
      </c>
      <c r="B313" s="116" t="str">
        <f>IFERROR(INDEX(M$100:M$300,MATCH(A313&amp;". koht",M$101:M$301,0)),"")</f>
        <v>Andrei Grintšak</v>
      </c>
      <c r="C313" s="53"/>
    </row>
    <row r="314" spans="1:3">
      <c r="A314" s="115">
        <v>15</v>
      </c>
      <c r="B314" s="116" t="str">
        <f>IFERROR(INDEX(M$100:M$300,MATCH(A314&amp;". koht",M$101:M$301,0)),"")</f>
        <v>Andres Veski</v>
      </c>
      <c r="C314" s="53"/>
    </row>
    <row r="315" spans="1:3">
      <c r="A315" s="115">
        <v>16</v>
      </c>
      <c r="B315" s="116" t="str">
        <f>IFERROR(INDEX(M$100:M$300,MATCH(A315&amp;". koht",M$101:M$301,0)),"")</f>
        <v>Sander Rose</v>
      </c>
      <c r="C315" s="53"/>
    </row>
    <row r="316" spans="1:3">
      <c r="A316" s="115">
        <v>17</v>
      </c>
      <c r="B316" s="116" t="str">
        <f>IFERROR(INDEX(M$100:M$300,MATCH(A316&amp;". koht",M$101:M$301,0)),"")</f>
        <v>Kristel Tihhonjuk</v>
      </c>
      <c r="C316" s="53"/>
    </row>
    <row r="317" spans="1:3">
      <c r="A317" s="115">
        <v>18</v>
      </c>
      <c r="B317" s="116" t="str">
        <f>IFERROR(INDEX(M$100:M$300,MATCH(A317&amp;". koht",M$101:M$301,0)),"")</f>
        <v>Sirje Viljaste</v>
      </c>
      <c r="C317" s="53"/>
    </row>
    <row r="318" spans="1:3">
      <c r="A318" s="115">
        <v>19</v>
      </c>
      <c r="B318" s="116" t="str">
        <f>IFERROR(INDEX(M$100:M$300,MATCH(A318&amp;". koht",M$101:M$301,0)),"")</f>
        <v>Vello Vasser</v>
      </c>
      <c r="C318" s="53"/>
    </row>
    <row r="319" spans="3:3">
      <c r="C319" s="53"/>
    </row>
  </sheetData>
  <conditionalFormatting sqref="A7:A25">
    <cfRule type="duplicateValues" dxfId="17" priority="115"/>
  </conditionalFormatting>
  <conditionalFormatting sqref="A102:A116">
    <cfRule type="duplicateValues" dxfId="26" priority="80"/>
    <cfRule type="cellIs" dxfId="27" priority="79" operator="equal">
      <formula>"-"</formula>
    </cfRule>
  </conditionalFormatting>
  <conditionalFormatting sqref="B123:B129">
    <cfRule type="duplicateValues" dxfId="26" priority="48"/>
    <cfRule type="cellIs" dxfId="27" priority="47" operator="equal">
      <formula>"-"</formula>
    </cfRule>
  </conditionalFormatting>
  <conditionalFormatting sqref="B140:B146">
    <cfRule type="duplicateValues" dxfId="26" priority="37"/>
    <cfRule type="cellIs" dxfId="27" priority="36" operator="equal">
      <formula>"-"</formula>
    </cfRule>
  </conditionalFormatting>
  <conditionalFormatting sqref="B157:B163">
    <cfRule type="duplicateValues" dxfId="26" priority="18"/>
    <cfRule type="cellIs" dxfId="27" priority="17" operator="equal">
      <formula>"-"</formula>
    </cfRule>
  </conditionalFormatting>
  <conditionalFormatting sqref="B174:B180">
    <cfRule type="duplicateValues" dxfId="26" priority="7"/>
    <cfRule type="cellIs" dxfId="27" priority="6" operator="equal">
      <formula>"-"</formula>
    </cfRule>
  </conditionalFormatting>
  <conditionalFormatting sqref="B300:B318">
    <cfRule type="duplicateValues" dxfId="26" priority="5"/>
    <cfRule type="containsBlanks" dxfId="19" priority="4">
      <formula>LEN(TRIM(B300))=0</formula>
    </cfRule>
    <cfRule type="expression" dxfId="28" priority="3">
      <formula>A300=1</formula>
    </cfRule>
    <cfRule type="expression" dxfId="29" priority="2">
      <formula>A300=2</formula>
    </cfRule>
    <cfRule type="expression" dxfId="30" priority="1">
      <formula>A300=3</formula>
    </cfRule>
  </conditionalFormatting>
  <conditionalFormatting sqref="C7:C25">
    <cfRule type="expression" dxfId="20" priority="97">
      <formula>IF($C7&gt;$E7,TRUE)</formula>
    </cfRule>
  </conditionalFormatting>
  <conditionalFormatting sqref="E7:E25">
    <cfRule type="expression" dxfId="20" priority="98">
      <formula>IF($C7&lt;$E7,TRUE)</formula>
    </cfRule>
  </conditionalFormatting>
  <conditionalFormatting sqref="F7:F25">
    <cfRule type="containsText" dxfId="21" priority="88" operator="between" text="vaba voor">
      <formula>NOT(ISERROR(SEARCH("vaba voor",F7)))</formula>
    </cfRule>
  </conditionalFormatting>
  <conditionalFormatting sqref="G7:G25">
    <cfRule type="expression" dxfId="20" priority="101">
      <formula>IF($G7&gt;$I7,TRUE)</formula>
    </cfRule>
  </conditionalFormatting>
  <conditionalFormatting sqref="I7:I25">
    <cfRule type="expression" dxfId="20" priority="102">
      <formula>IF($G7&lt;$I7,TRUE)</formula>
    </cfRule>
  </conditionalFormatting>
  <conditionalFormatting sqref="J7:J25">
    <cfRule type="containsText" dxfId="21" priority="87" operator="between" text="vaba voor">
      <formula>NOT(ISERROR(SEARCH("vaba voor",J7)))</formula>
    </cfRule>
  </conditionalFormatting>
  <conditionalFormatting sqref="K7:K25">
    <cfRule type="expression" dxfId="20" priority="105">
      <formula>IF($K7&gt;$M7,TRUE)</formula>
    </cfRule>
  </conditionalFormatting>
  <conditionalFormatting sqref="M7:M25">
    <cfRule type="expression" dxfId="20" priority="106">
      <formula>IF($K7&lt;$M7,TRUE)</formula>
    </cfRule>
  </conditionalFormatting>
  <conditionalFormatting sqref="N7:N25">
    <cfRule type="containsText" dxfId="21" priority="86" operator="between" text="vaba voor">
      <formula>NOT(ISERROR(SEARCH("vaba voor",N7)))</formula>
    </cfRule>
  </conditionalFormatting>
  <conditionalFormatting sqref="O7:O25">
    <cfRule type="expression" dxfId="20" priority="109">
      <formula>IF($O7&gt;$Q7,TRUE)</formula>
    </cfRule>
  </conditionalFormatting>
  <conditionalFormatting sqref="Q7:Q25">
    <cfRule type="expression" dxfId="20" priority="110">
      <formula>IF($O7&lt;$Q7,TRUE)</formula>
    </cfRule>
  </conditionalFormatting>
  <conditionalFormatting sqref="R7:R25">
    <cfRule type="containsText" dxfId="21" priority="89" operator="between" text="vaba voor">
      <formula>NOT(ISERROR(SEARCH("vaba voor",R7)))</formula>
    </cfRule>
  </conditionalFormatting>
  <conditionalFormatting sqref="S7:S25">
    <cfRule type="expression" dxfId="20" priority="113">
      <formula>IF($S7&gt;$U7,TRUE)</formula>
    </cfRule>
  </conditionalFormatting>
  <conditionalFormatting sqref="U7:U25">
    <cfRule type="expression" dxfId="20" priority="114">
      <formula>IF($S7&lt;$U7,TRUE)</formula>
    </cfRule>
  </conditionalFormatting>
  <conditionalFormatting sqref="V7:V25">
    <cfRule type="containsText" dxfId="21" priority="85" operator="between" text="vaba voor">
      <formula>NOT(ISERROR(SEARCH("vaba voor",V7)))</formula>
    </cfRule>
  </conditionalFormatting>
  <conditionalFormatting sqref="AE7:AE25">
    <cfRule type="expression" dxfId="22" priority="82">
      <formula>AND(AF7="",COUNTIF(AE7,"*,*")=0)</formula>
    </cfRule>
  </conditionalFormatting>
  <conditionalFormatting sqref="C7:F25">
    <cfRule type="expression" dxfId="5" priority="93">
      <formula>IF(AND(ISNUMBER($C7),$C7=$E7),TRUE)</formula>
    </cfRule>
    <cfRule type="expression" dxfId="7" priority="95">
      <formula>IF($C7&gt;$E7,TRUE)</formula>
    </cfRule>
    <cfRule type="expression" dxfId="23" priority="96">
      <formula>IF($C7&lt;$E7,TRUE)</formula>
    </cfRule>
  </conditionalFormatting>
  <conditionalFormatting sqref="C7:C25;G7:G25;K7:K25;O7:O25;S7:S25">
    <cfRule type="expression" dxfId="24" priority="83">
      <formula>AND(C7=0,E7=13)</formula>
    </cfRule>
  </conditionalFormatting>
  <conditionalFormatting sqref="E7:E25;I7:I25;M7:M25;Q7:Q25;U7:U25">
    <cfRule type="expression" dxfId="24" priority="84">
      <formula>AND(E7=0,C7=13)</formula>
    </cfRule>
  </conditionalFormatting>
  <conditionalFormatting sqref="G7:J25">
    <cfRule type="expression" dxfId="5" priority="94">
      <formula>IF(AND(ISNUMBER($G7),$G7=$I7),TRUE)</formula>
    </cfRule>
    <cfRule type="expression" dxfId="7" priority="99">
      <formula>IF($G7&gt;$I7,TRUE)</formula>
    </cfRule>
    <cfRule type="expression" dxfId="23" priority="100">
      <formula>IF($G7&lt;$I7,TRUE)</formula>
    </cfRule>
  </conditionalFormatting>
  <conditionalFormatting sqref="K7:N25">
    <cfRule type="expression" dxfId="5" priority="92">
      <formula>IF(AND(ISNUMBER($K7),$K7=$M7),TRUE)</formula>
    </cfRule>
    <cfRule type="expression" dxfId="7" priority="103">
      <formula>IF($K7&gt;$M7,TRUE)</formula>
    </cfRule>
    <cfRule type="expression" dxfId="23" priority="104">
      <formula>IF($K7&lt;$M7,TRUE)</formula>
    </cfRule>
  </conditionalFormatting>
  <conditionalFormatting sqref="O7:R25">
    <cfRule type="expression" dxfId="5" priority="91">
      <formula>IF(AND(ISNUMBER($O7),$O7=$Q7),TRUE)</formula>
    </cfRule>
    <cfRule type="expression" dxfId="7" priority="107">
      <formula>IF($O7&gt;$Q7,TRUE)</formula>
    </cfRule>
    <cfRule type="expression" dxfId="23" priority="108">
      <formula>IF($O7&lt;$Q7,TRUE)</formula>
    </cfRule>
  </conditionalFormatting>
  <conditionalFormatting sqref="S7:V25">
    <cfRule type="expression" dxfId="5" priority="90">
      <formula>IF(AND(ISNUMBER($S7),$S7=$U7),TRUE)</formula>
    </cfRule>
    <cfRule type="expression" dxfId="7" priority="111">
      <formula>IF($S7&gt;$U7,TRUE)</formula>
    </cfRule>
    <cfRule type="expression" dxfId="23" priority="112">
      <formula>IF($S7&lt;$U7,TRUE)</formula>
    </cfRule>
  </conditionalFormatting>
  <conditionalFormatting sqref="B100:H102;B103:D122;B130:B136;L105:L108;M109:M123;I103:J104;H103:H122">
    <cfRule type="containsText" dxfId="15" priority="81" operator="between" text="I-Viru">
      <formula>NOT(ISERROR(SEARCH("I-Viru",B100)))</formula>
    </cfRule>
  </conditionalFormatting>
  <conditionalFormatting sqref="C102;C104">
    <cfRule type="aboveAverage" dxfId="1" priority="74"/>
    <cfRule type="containsBlanks" dxfId="31" priority="73">
      <formula>LEN(TRIM(C102))=0</formula>
    </cfRule>
  </conditionalFormatting>
  <conditionalFormatting sqref="G107;G103">
    <cfRule type="containsBlanks" dxfId="31" priority="60">
      <formula>LEN(TRIM(G103))=0</formula>
    </cfRule>
    <cfRule type="aboveAverage" dxfId="1" priority="61"/>
  </conditionalFormatting>
  <conditionalFormatting sqref="K105;K113">
    <cfRule type="containsBlanks" dxfId="31" priority="66">
      <formula>LEN(TRIM(K105))=0</formula>
    </cfRule>
    <cfRule type="aboveAverage" dxfId="1" priority="67"/>
  </conditionalFormatting>
  <conditionalFormatting sqref="C106;C108">
    <cfRule type="aboveAverage" dxfId="1" priority="78"/>
  </conditionalFormatting>
  <conditionalFormatting sqref="C106;C108;C110;C112;C114;C116">
    <cfRule type="containsBlanks" dxfId="31" priority="75">
      <formula>LEN(TRIM(C106))=0</formula>
    </cfRule>
  </conditionalFormatting>
  <conditionalFormatting sqref="C110;C112">
    <cfRule type="aboveAverage" dxfId="1" priority="77"/>
  </conditionalFormatting>
  <conditionalFormatting sqref="G115;G111">
    <cfRule type="containsBlanks" dxfId="31" priority="58">
      <formula>LEN(TRIM(G111))=0</formula>
    </cfRule>
    <cfRule type="aboveAverage" dxfId="1" priority="59"/>
  </conditionalFormatting>
  <conditionalFormatting sqref="C114;C116">
    <cfRule type="aboveAverage" dxfId="1" priority="76"/>
  </conditionalFormatting>
  <conditionalFormatting sqref="K117;K119">
    <cfRule type="containsBlanks" dxfId="31" priority="68">
      <formula>LEN(TRIM(K117))=0</formula>
    </cfRule>
    <cfRule type="aboveAverage" dxfId="1" priority="69"/>
  </conditionalFormatting>
  <conditionalFormatting sqref="C123:D136;H123:H129;J123;G130:H136;K134:K136;L124:L125;M126:M136">
    <cfRule type="containsText" dxfId="15" priority="35" operator="between" text="I-Viru">
      <formula>NOT(ISERROR(SEARCH("I-Viru",C123)))</formula>
    </cfRule>
  </conditionalFormatting>
  <conditionalFormatting sqref="G125;G123">
    <cfRule type="containsBlanks" dxfId="31" priority="30">
      <formula>LEN(TRIM(G123))=0</formula>
    </cfRule>
    <cfRule type="aboveAverage" dxfId="1" priority="31"/>
  </conditionalFormatting>
  <conditionalFormatting sqref="K124;K128">
    <cfRule type="aboveAverage" dxfId="1" priority="34"/>
  </conditionalFormatting>
  <conditionalFormatting sqref="K131;K128;K133;K124">
    <cfRule type="containsBlanks" dxfId="31" priority="32">
      <formula>LEN(TRIM(K124))=0</formula>
    </cfRule>
  </conditionalFormatting>
  <conditionalFormatting sqref="G129;G127">
    <cfRule type="containsBlanks" dxfId="31" priority="28">
      <formula>LEN(TRIM(G127))=0</formula>
    </cfRule>
    <cfRule type="aboveAverage" dxfId="1" priority="29"/>
  </conditionalFormatting>
  <conditionalFormatting sqref="K131;K133">
    <cfRule type="aboveAverage" dxfId="1" priority="33"/>
  </conditionalFormatting>
  <conditionalFormatting sqref="D140:D146;B147:D153;G147:H153;I152:I153;K151;H140:H146;M141:M153">
    <cfRule type="containsText" dxfId="15" priority="46" operator="between" text="I-Viru">
      <formula>NOT(ISERROR(SEARCH("I-Viru",B140)))</formula>
    </cfRule>
  </conditionalFormatting>
  <conditionalFormatting sqref="C140;C141:C146">
    <cfRule type="containsText" dxfId="15" priority="38" operator="between" text="I-Viru">
      <formula>NOT(ISERROR(SEARCH("I-Viru",C140)))</formula>
    </cfRule>
  </conditionalFormatting>
  <conditionalFormatting sqref="G142;G140">
    <cfRule type="aboveAverage" dxfId="1" priority="42"/>
    <cfRule type="containsBlanks" dxfId="31" priority="41">
      <formula>LEN(TRIM(G140))=0</formula>
    </cfRule>
  </conditionalFormatting>
  <conditionalFormatting sqref="K141;K145">
    <cfRule type="aboveAverage" dxfId="1" priority="45"/>
  </conditionalFormatting>
  <conditionalFormatting sqref="K150;K145;K141;K148">
    <cfRule type="containsBlanks" dxfId="31" priority="43">
      <formula>LEN(TRIM(K141))=0</formula>
    </cfRule>
  </conditionalFormatting>
  <conditionalFormatting sqref="G146;G144">
    <cfRule type="aboveAverage" dxfId="1" priority="40"/>
    <cfRule type="containsBlanks" dxfId="31" priority="39">
      <formula>LEN(TRIM(G144))=0</formula>
    </cfRule>
  </conditionalFormatting>
  <conditionalFormatting sqref="K148;K150">
    <cfRule type="aboveAverage" dxfId="1" priority="44"/>
  </conditionalFormatting>
  <conditionalFormatting sqref="D157:D163;B164:D170;G164:H170;I169:I170;K168;H157:H163;M158:M170">
    <cfRule type="containsText" dxfId="15" priority="27" operator="between" text="I-Viru">
      <formula>NOT(ISERROR(SEARCH("I-Viru",B157)))</formula>
    </cfRule>
  </conditionalFormatting>
  <conditionalFormatting sqref="C157;C158:C163">
    <cfRule type="containsText" dxfId="15" priority="19" operator="between" text="I-Viru">
      <formula>NOT(ISERROR(SEARCH("I-Viru",C157)))</formula>
    </cfRule>
  </conditionalFormatting>
  <conditionalFormatting sqref="G159;G157">
    <cfRule type="aboveAverage" dxfId="1" priority="23"/>
    <cfRule type="containsBlanks" dxfId="31" priority="22">
      <formula>LEN(TRIM(G157))=0</formula>
    </cfRule>
  </conditionalFormatting>
  <conditionalFormatting sqref="K158;K162">
    <cfRule type="aboveAverage" dxfId="1" priority="26"/>
  </conditionalFormatting>
  <conditionalFormatting sqref="K167;K162;K158;K165">
    <cfRule type="containsBlanks" dxfId="31" priority="24">
      <formula>LEN(TRIM(K158))=0</formula>
    </cfRule>
  </conditionalFormatting>
  <conditionalFormatting sqref="G163;G161">
    <cfRule type="aboveAverage" dxfId="1" priority="21"/>
    <cfRule type="containsBlanks" dxfId="31" priority="20">
      <formula>LEN(TRIM(G161))=0</formula>
    </cfRule>
  </conditionalFormatting>
  <conditionalFormatting sqref="K165;K167">
    <cfRule type="aboveAverage" dxfId="1" priority="25"/>
  </conditionalFormatting>
  <conditionalFormatting sqref="D174:D180;B181:D187;G181:H187;I186:I187;K185;H174:H180;M175:M187">
    <cfRule type="containsText" dxfId="15" priority="16" operator="between" text="I-Viru">
      <formula>NOT(ISERROR(SEARCH("I-Viru",B174)))</formula>
    </cfRule>
  </conditionalFormatting>
  <conditionalFormatting sqref="C174;C175:C180">
    <cfRule type="containsText" dxfId="15" priority="8" operator="between" text="I-Viru">
      <formula>NOT(ISERROR(SEARCH("I-Viru",C174)))</formula>
    </cfRule>
  </conditionalFormatting>
  <conditionalFormatting sqref="G176;G174">
    <cfRule type="aboveAverage" dxfId="1" priority="12"/>
    <cfRule type="containsBlanks" dxfId="31" priority="11">
      <formula>LEN(TRIM(G174))=0</formula>
    </cfRule>
  </conditionalFormatting>
  <conditionalFormatting sqref="K175;K179">
    <cfRule type="aboveAverage" dxfId="1" priority="15"/>
  </conditionalFormatting>
  <conditionalFormatting sqref="K184;K179;K175;K182">
    <cfRule type="containsBlanks" dxfId="31" priority="13">
      <formula>LEN(TRIM(K175))=0</formula>
    </cfRule>
  </conditionalFormatting>
  <conditionalFormatting sqref="G180;G178">
    <cfRule type="aboveAverage" dxfId="1" priority="10"/>
    <cfRule type="containsBlanks" dxfId="31" priority="9">
      <formula>LEN(TRIM(G178))=0</formula>
    </cfRule>
  </conditionalFormatting>
  <conditionalFormatting sqref="K182;K184">
    <cfRule type="aboveAverage" dxfId="1" priority="14"/>
  </conditionalFormatting>
  <pageMargins left="0.393055555555556" right="0.393055555555556" top="0.786805555555556" bottom="0.393055555555556" header="0.786805555555556" footer="0"/>
  <pageSetup paperSize="9" fitToHeight="0" orientation="landscape" horizontalDpi="600" verticalDpi="1200"/>
  <headerFooter>
    <oddHeader>&amp;R&amp;P. leht &amp;N&amp; -st</oddHeader>
  </headerFooter>
  <rowBreaks count="2" manualBreakCount="2">
    <brk id="99" max="16383" man="1"/>
    <brk id="171" max="16383" man="1"/>
  </rowBreaks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CCFFCC"/>
    <pageSetUpPr fitToPage="1"/>
  </sheetPr>
  <dimension ref="A1:AP313"/>
  <sheetViews>
    <sheetView showGridLines="0" showRowColHeaders="0" workbookViewId="0">
      <pane ySplit="1" topLeftCell="A2" activePane="bottomLeft" state="frozen"/>
      <selection/>
      <selection pane="bottomLeft" activeCell="A5" sqref="A5"/>
    </sheetView>
  </sheetViews>
  <sheetFormatPr defaultColWidth="9" defaultRowHeight="12.3"/>
  <cols>
    <col min="1" max="1" width="3.28828828828829" style="3" customWidth="1"/>
    <col min="2" max="2" width="29.8198198198198" style="3" customWidth="1"/>
    <col min="3" max="3" width="4.71171171171171" style="3" customWidth="1"/>
    <col min="4" max="4" width="1.14414414414414" style="3" customWidth="1"/>
    <col min="5" max="5" width="2.71171171171171" style="3" customWidth="1"/>
    <col min="6" max="6" width="9.14414414414414" style="3"/>
    <col min="7" max="7" width="2.71171171171171" style="3" customWidth="1"/>
    <col min="8" max="8" width="1.14414414414414" style="3" customWidth="1"/>
    <col min="9" max="9" width="2.71171171171171" style="3" customWidth="1"/>
    <col min="10" max="10" width="9.14414414414414" style="3"/>
    <col min="11" max="11" width="2.71171171171171" style="3" customWidth="1"/>
    <col min="12" max="12" width="1.14414414414414" style="3" customWidth="1"/>
    <col min="13" max="13" width="2.71171171171171" style="3" customWidth="1"/>
    <col min="14" max="14" width="9.14414414414414" style="3"/>
    <col min="15" max="15" width="2.71171171171171" style="3" customWidth="1"/>
    <col min="16" max="16" width="1.14414414414414" style="3" customWidth="1"/>
    <col min="17" max="17" width="2.71171171171171" style="3" customWidth="1"/>
    <col min="18" max="18" width="9.14414414414414" style="3"/>
    <col min="19" max="19" width="2.71171171171171" style="3" hidden="1" customWidth="1"/>
    <col min="20" max="20" width="1.14414414414414" style="3" hidden="1" customWidth="1"/>
    <col min="21" max="21" width="2.71171171171171" style="3" hidden="1" customWidth="1"/>
    <col min="22" max="22" width="9" style="3" hidden="1" customWidth="1"/>
    <col min="23" max="23" width="5.71171171171171" style="3" customWidth="1"/>
    <col min="24" max="24" width="5.56756756756757" style="3" customWidth="1"/>
    <col min="25" max="25" width="7.42342342342342" style="3" customWidth="1"/>
    <col min="26" max="26" width="2.71171171171171" style="3" customWidth="1"/>
    <col min="27" max="27" width="1.14414414414414" style="3" customWidth="1"/>
    <col min="28" max="28" width="2.71171171171171" style="3" customWidth="1"/>
    <col min="29" max="29" width="4.71171171171171" style="3" customWidth="1"/>
    <col min="30" max="31" width="9.14414414414414" style="3" hidden="1" customWidth="1"/>
    <col min="32" max="32" width="16.7027027027027" style="3" hidden="1" customWidth="1"/>
    <col min="33" max="33" width="9.14414414414414" style="3" hidden="1" customWidth="1"/>
    <col min="34" max="34" width="15.6126126126126" style="3" hidden="1" customWidth="1"/>
    <col min="35" max="35" width="9.14414414414414" style="3" hidden="1" customWidth="1"/>
    <col min="36" max="36" width="17.2882882882883" style="3" hidden="1" customWidth="1"/>
    <col min="37" max="37" width="9.14414414414414" style="3" hidden="1" customWidth="1"/>
    <col min="38" max="38" width="13.8558558558559" style="3" hidden="1" customWidth="1"/>
    <col min="39" max="39" width="9.14414414414414" style="3" hidden="1" customWidth="1"/>
    <col min="40" max="40" width="17.2882882882883" style="3" hidden="1" customWidth="1"/>
    <col min="41" max="41" width="9.14414414414414" style="3" hidden="1" customWidth="1"/>
    <col min="42" max="42" width="13.8558558558559" style="3" hidden="1" customWidth="1"/>
    <col min="43" max="16384" width="9.14414414414414" style="3"/>
  </cols>
  <sheetData>
    <row r="1" spans="1:42">
      <c r="A1" s="4" t="str">
        <f>UPPER((Kalend!E19)&amp;" - "&amp;(Kalend!C19))&amp;" - "&amp;LOWER(Kalend!D19)&amp;" - "&amp;(Kalend!A19)&amp;" kell "&amp;(Kalend!B19)&amp;" - "&amp;(Kalend!F19)</f>
        <v>V6 - VOKA XI KV 6. ETAPP - duo - T, 16.07.2024 kell 18:00 - Voka staadion</v>
      </c>
      <c r="O1" s="6"/>
      <c r="P1" s="6"/>
      <c r="Q1" s="20"/>
      <c r="R1" s="20"/>
      <c r="S1" s="20"/>
      <c r="T1" s="21"/>
      <c r="U1" s="21"/>
      <c r="V1" s="21"/>
      <c r="W1" s="6"/>
      <c r="X1" s="22"/>
      <c r="Y1" s="6"/>
      <c r="Z1" s="6"/>
      <c r="AD1" s="30" t="s">
        <v>149</v>
      </c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47"/>
      <c r="AP1" s="47"/>
    </row>
    <row r="2" spans="1:40">
      <c r="A2" s="5"/>
      <c r="F2" s="6"/>
      <c r="L2" s="19"/>
      <c r="M2" s="19"/>
      <c r="N2" s="19"/>
      <c r="O2" s="6"/>
      <c r="P2" s="6"/>
      <c r="Q2" s="6"/>
      <c r="R2" s="23" t="s">
        <v>322</v>
      </c>
      <c r="S2" s="6"/>
      <c r="T2" s="19"/>
      <c r="U2" s="19"/>
      <c r="V2" s="19"/>
      <c r="W2" s="24">
        <v>1</v>
      </c>
      <c r="X2" s="6" t="s">
        <v>323</v>
      </c>
      <c r="Y2" s="6"/>
      <c r="Z2" s="6"/>
      <c r="AA2" s="6"/>
      <c r="AB2" s="6"/>
      <c r="AE2" s="6"/>
      <c r="AG2" s="6"/>
      <c r="AH2" s="6"/>
      <c r="AI2" s="6"/>
      <c r="AJ2" s="6"/>
      <c r="AK2" s="6"/>
      <c r="AL2" s="6"/>
      <c r="AM2" s="6"/>
      <c r="AN2" s="6"/>
    </row>
    <row r="3" spans="1:42">
      <c r="A3" s="5"/>
      <c r="F3" s="6"/>
      <c r="L3" s="6"/>
      <c r="M3" s="6"/>
      <c r="N3" s="6"/>
      <c r="O3" s="6"/>
      <c r="P3" s="6"/>
      <c r="Q3" s="6"/>
      <c r="R3" s="25" t="s">
        <v>324</v>
      </c>
      <c r="S3" s="6"/>
      <c r="T3" s="6"/>
      <c r="U3" s="6"/>
      <c r="V3" s="6"/>
      <c r="W3" s="24">
        <v>0.5</v>
      </c>
      <c r="X3" s="6" t="s">
        <v>325</v>
      </c>
      <c r="Y3" s="6"/>
      <c r="Z3" s="6"/>
      <c r="AA3" s="6"/>
      <c r="AB3" s="6"/>
      <c r="AE3" s="19"/>
      <c r="AF3" s="19"/>
      <c r="AG3" s="19"/>
      <c r="AH3" s="44"/>
      <c r="AI3" s="19"/>
      <c r="AJ3" s="19"/>
      <c r="AK3" s="19"/>
      <c r="AL3" s="19"/>
      <c r="AM3" s="19"/>
      <c r="AN3" s="19"/>
      <c r="AO3" s="19"/>
      <c r="AP3" s="19"/>
    </row>
    <row r="4" spans="6:28">
      <c r="F4" s="6"/>
      <c r="L4" s="6"/>
      <c r="M4" s="6"/>
      <c r="N4" s="6"/>
      <c r="O4" s="6"/>
      <c r="P4" s="6"/>
      <c r="Q4" s="6"/>
      <c r="R4" s="26" t="s">
        <v>326</v>
      </c>
      <c r="S4" s="6"/>
      <c r="T4" s="6"/>
      <c r="U4" s="6"/>
      <c r="V4" s="6"/>
      <c r="W4" s="24">
        <v>0</v>
      </c>
      <c r="X4" s="6" t="s">
        <v>325</v>
      </c>
      <c r="Y4" s="6"/>
      <c r="Z4" s="6"/>
      <c r="AA4" s="6"/>
      <c r="AB4" s="6"/>
    </row>
    <row r="5" spans="6:30">
      <c r="F5" s="6"/>
      <c r="L5" s="6"/>
      <c r="M5" s="6"/>
      <c r="N5" s="6"/>
      <c r="O5" s="6"/>
      <c r="P5" s="6"/>
      <c r="Q5" s="6"/>
      <c r="R5" s="6"/>
      <c r="S5" s="6"/>
      <c r="T5" s="6"/>
      <c r="U5" s="6"/>
      <c r="W5" s="6"/>
      <c r="X5" s="6"/>
      <c r="Y5" s="6"/>
      <c r="Z5" s="6"/>
      <c r="AA5" s="6"/>
      <c r="AB5" s="32" t="s">
        <v>327</v>
      </c>
      <c r="AD5" s="33" t="s">
        <v>328</v>
      </c>
    </row>
    <row r="6" spans="1:42">
      <c r="A6" s="7" t="s">
        <v>329</v>
      </c>
      <c r="B6" s="7" t="s">
        <v>180</v>
      </c>
      <c r="C6" s="8" t="s">
        <v>330</v>
      </c>
      <c r="D6" s="9"/>
      <c r="E6" s="9"/>
      <c r="F6" s="10"/>
      <c r="G6" s="8" t="s">
        <v>331</v>
      </c>
      <c r="H6" s="9"/>
      <c r="I6" s="9"/>
      <c r="J6" s="10"/>
      <c r="K6" s="8" t="s">
        <v>332</v>
      </c>
      <c r="L6" s="9"/>
      <c r="M6" s="9"/>
      <c r="N6" s="10"/>
      <c r="O6" s="8" t="s">
        <v>333</v>
      </c>
      <c r="P6" s="9"/>
      <c r="Q6" s="9"/>
      <c r="R6" s="10"/>
      <c r="S6" s="8" t="s">
        <v>334</v>
      </c>
      <c r="T6" s="9"/>
      <c r="U6" s="9"/>
      <c r="V6" s="10"/>
      <c r="W6" s="7" t="s">
        <v>162</v>
      </c>
      <c r="X6" s="27" t="s">
        <v>335</v>
      </c>
      <c r="Y6" s="7" t="s">
        <v>336</v>
      </c>
      <c r="Z6" s="27"/>
      <c r="AA6" s="34" t="s">
        <v>337</v>
      </c>
      <c r="AB6" s="35"/>
      <c r="AC6" s="36" t="s">
        <v>338</v>
      </c>
      <c r="AD6" s="37" t="s">
        <v>168</v>
      </c>
      <c r="AE6" s="38"/>
      <c r="AF6" s="38" t="s">
        <v>339</v>
      </c>
      <c r="AG6" s="38"/>
      <c r="AH6" s="45" t="s">
        <v>340</v>
      </c>
      <c r="AI6" s="38"/>
      <c r="AJ6" s="38" t="s">
        <v>341</v>
      </c>
      <c r="AK6" s="46"/>
      <c r="AL6" s="38" t="s">
        <v>342</v>
      </c>
      <c r="AM6" s="46"/>
      <c r="AN6" s="46" t="s">
        <v>343</v>
      </c>
      <c r="AO6" s="48"/>
      <c r="AP6" s="46" t="s">
        <v>344</v>
      </c>
    </row>
    <row r="7" spans="1:42">
      <c r="A7" s="11">
        <v>1</v>
      </c>
      <c r="B7" s="12" t="s">
        <v>369</v>
      </c>
      <c r="C7" s="13">
        <v>13</v>
      </c>
      <c r="D7" s="14" t="s">
        <v>346</v>
      </c>
      <c r="E7" s="14">
        <v>8</v>
      </c>
      <c r="F7" s="15" t="s">
        <v>356</v>
      </c>
      <c r="G7" s="13">
        <v>13</v>
      </c>
      <c r="H7" s="14" t="s">
        <v>346</v>
      </c>
      <c r="I7" s="14">
        <v>1</v>
      </c>
      <c r="J7" s="15" t="s">
        <v>387</v>
      </c>
      <c r="K7" s="13">
        <v>13</v>
      </c>
      <c r="L7" s="14" t="s">
        <v>346</v>
      </c>
      <c r="M7" s="14">
        <v>2</v>
      </c>
      <c r="N7" s="15" t="s">
        <v>425</v>
      </c>
      <c r="O7" s="13">
        <v>12</v>
      </c>
      <c r="P7" s="14" t="s">
        <v>346</v>
      </c>
      <c r="Q7" s="14">
        <v>11</v>
      </c>
      <c r="R7" s="15" t="s">
        <v>426</v>
      </c>
      <c r="S7" s="13"/>
      <c r="T7" s="14"/>
      <c r="U7" s="14"/>
      <c r="V7" s="15"/>
      <c r="W7" s="28">
        <f>IF(C7&gt;E7,W$2,IF(C7&lt;E7,W$4,IF(ISNUMBER(C7),W$3,0)))+IF(G7&gt;I7,W$2,IF(G7&lt;I7,W$4,IF(ISNUMBER(G7),W$3,0)))+IF(K7&gt;M7,W$2,IF(K7&lt;M7,W$4,IF(ISNUMBER(K7),W$3,0)))+IF(O7&gt;Q7,W$2,IF(O7&lt;Q7,W$4,IF(ISNUMBER(O7),W$3,0)))+IF(S7&gt;U7,W$2,IF(S7&lt;U7,W$4,IF(ISNUMBER(S7),W$3,0)))</f>
        <v>4</v>
      </c>
      <c r="X7" s="29">
        <v>18</v>
      </c>
      <c r="Y7" s="29">
        <v>76</v>
      </c>
      <c r="Z7" s="13">
        <f t="shared" ref="Z7:Z15" si="0">C7+G7+K7+O7+S7</f>
        <v>51</v>
      </c>
      <c r="AA7" s="14" t="s">
        <v>346</v>
      </c>
      <c r="AB7" s="39">
        <f t="shared" ref="AB7:AB15" si="1">E7+I7+M7+Q7+U7</f>
        <v>22</v>
      </c>
      <c r="AC7" s="40">
        <f t="shared" ref="AC7:AC15" si="2">Z7-AB7</f>
        <v>29</v>
      </c>
      <c r="AD7" s="41">
        <f t="shared" ref="AD7:AD15" si="3">SUM(AE7:AL7)</f>
        <v>320</v>
      </c>
      <c r="AE7" s="42">
        <f>IFERROR(INDEX(V!$R:$R,MATCH(AF7,V!$L:$L,0)),"")</f>
        <v>150</v>
      </c>
      <c r="AF7" s="43" t="str">
        <f t="shared" ref="AF7:AF15" si="4">IFERROR(LEFT($B7,(FIND(",",$B7,1)-1)),"")</f>
        <v>Henri Mitt</v>
      </c>
      <c r="AG7" s="42">
        <f>IFERROR(INDEX(V!$R:$R,MATCH(AH7,V!$L:$L,0)),"")</f>
        <v>170</v>
      </c>
      <c r="AH7" s="43" t="str">
        <f t="shared" ref="AH7:AH15" si="5">IFERROR(MID($B7,FIND(", ",$B7)+2,256),"")</f>
        <v>Tõnis Neiland</v>
      </c>
      <c r="AI7" s="42" t="str">
        <f>IFERROR(INDEX(V!$R:$R,MATCH(AJ7,V!$L:$L,0)),"")</f>
        <v/>
      </c>
      <c r="AJ7" s="43" t="str">
        <f t="shared" ref="AJ7:AJ15" si="6">IFERROR(MID($B7,FIND("^",SUBSTITUTE($B7,", ","^",1))+2,FIND("^",SUBSTITUTE($B7,", ","^",2))-FIND("^",SUBSTITUTE($B7,", ","^",1))-2),"")</f>
        <v/>
      </c>
      <c r="AK7" s="42" t="str">
        <f>IFERROR(INDEX(V!$R:$R,MATCH(AL7,V!$L:$L,0)),"")</f>
        <v/>
      </c>
      <c r="AL7" s="43" t="str">
        <f t="shared" ref="AL7:AL15" si="7">IFERROR(MID($B7,FIND(", ",$B7,FIND(", ",$B7,FIND(", ",$B7))+1)+2,30000),"")</f>
        <v/>
      </c>
      <c r="AM7" s="42" t="str">
        <f>IFERROR(INDEX(V!$R:$R,MATCH(AN7,V!$L:$L,0)),"")</f>
        <v/>
      </c>
      <c r="AN7" s="43" t="str">
        <f t="shared" ref="AN7:AN15" si="8">IFERROR(MID($B7,FIND(", ",$B7,FIND(", ",$B7)+1)+2,FIND(", ",$B7,FIND(", ",$B7,FIND(", ",$B7)+1)+1)-FIND(", ",$B7,FIND(", ",$B7)+1)-2),"")</f>
        <v/>
      </c>
      <c r="AO7" s="42" t="str">
        <f>IFERROR(INDEX(V!$R:$R,MATCH(AP7,V!$L:$L,0)),"")</f>
        <v/>
      </c>
      <c r="AP7" s="43" t="str">
        <f t="shared" ref="AP7:AP15" si="9">IFERROR(MID($B7,FIND(", ",$B7,FIND(", ",$B7,FIND(", ",$B7)+1)+1)+2,30000),"")</f>
        <v/>
      </c>
    </row>
    <row r="8" spans="1:42">
      <c r="A8" s="11">
        <v>2</v>
      </c>
      <c r="B8" s="16" t="s">
        <v>387</v>
      </c>
      <c r="C8" s="13">
        <v>10</v>
      </c>
      <c r="D8" s="14" t="s">
        <v>346</v>
      </c>
      <c r="E8" s="14">
        <v>3</v>
      </c>
      <c r="F8" s="15" t="s">
        <v>388</v>
      </c>
      <c r="G8" s="13">
        <v>1</v>
      </c>
      <c r="H8" s="14" t="s">
        <v>346</v>
      </c>
      <c r="I8" s="14">
        <v>13</v>
      </c>
      <c r="J8" s="15" t="s">
        <v>369</v>
      </c>
      <c r="K8" s="13">
        <v>10</v>
      </c>
      <c r="L8" s="14" t="s">
        <v>346</v>
      </c>
      <c r="M8" s="14">
        <v>8</v>
      </c>
      <c r="N8" s="15" t="s">
        <v>359</v>
      </c>
      <c r="O8" s="13">
        <v>11</v>
      </c>
      <c r="P8" s="14" t="s">
        <v>346</v>
      </c>
      <c r="Q8" s="14">
        <v>8</v>
      </c>
      <c r="R8" s="15" t="s">
        <v>425</v>
      </c>
      <c r="S8" s="13"/>
      <c r="T8" s="14"/>
      <c r="U8" s="14"/>
      <c r="V8" s="15"/>
      <c r="W8" s="28">
        <f>IF(C8&gt;E8,W$2,IF(C8&lt;E8,W$4,IF(ISNUMBER(C8),W$3,0)))+IF(G8&gt;I8,W$2,IF(G8&lt;I8,W$4,IF(ISNUMBER(G8),W$3,0)))+IF(K8&gt;M8,W$2,IF(K8&lt;M8,W$4,IF(ISNUMBER(K8),W$3,0)))+IF(O8&gt;Q8,W$2,IF(O8&lt;Q8,W$4,IF(ISNUMBER(O8),W$3,0)))+IF(S8&gt;U8,W$2,IF(S8&lt;U8,W$4,IF(ISNUMBER(S8),W$3,0)))</f>
        <v>3</v>
      </c>
      <c r="X8" s="29">
        <v>20</v>
      </c>
      <c r="Y8" s="29">
        <v>72</v>
      </c>
      <c r="Z8" s="13">
        <f t="shared" si="0"/>
        <v>32</v>
      </c>
      <c r="AA8" s="14" t="s">
        <v>346</v>
      </c>
      <c r="AB8" s="39">
        <f t="shared" si="1"/>
        <v>32</v>
      </c>
      <c r="AC8" s="40">
        <f t="shared" si="2"/>
        <v>0</v>
      </c>
      <c r="AD8" s="41">
        <f t="shared" si="3"/>
        <v>244</v>
      </c>
      <c r="AE8" s="42">
        <f>IFERROR(INDEX(V!$R:$R,MATCH(AF8,V!$L:$L,0)),"")</f>
        <v>144</v>
      </c>
      <c r="AF8" s="43" t="str">
        <f t="shared" si="4"/>
        <v>Oleg Rõndenkov</v>
      </c>
      <c r="AG8" s="42">
        <f>IFERROR(INDEX(V!$R:$R,MATCH(AH8,V!$L:$L,0)),"")</f>
        <v>100</v>
      </c>
      <c r="AH8" s="43" t="str">
        <f t="shared" si="5"/>
        <v>Urmas Jõeäär</v>
      </c>
      <c r="AI8" s="42" t="str">
        <f>IFERROR(INDEX(V!$R:$R,MATCH(AJ8,V!$L:$L,0)),"")</f>
        <v/>
      </c>
      <c r="AJ8" s="43" t="str">
        <f t="shared" si="6"/>
        <v/>
      </c>
      <c r="AK8" s="42" t="str">
        <f>IFERROR(INDEX(V!$R:$R,MATCH(AL8,V!$L:$L,0)),"")</f>
        <v/>
      </c>
      <c r="AL8" s="43" t="str">
        <f t="shared" si="7"/>
        <v/>
      </c>
      <c r="AM8" s="42" t="str">
        <f>IFERROR(INDEX(V!$R:$R,MATCH(AN8,V!$L:$L,0)),"")</f>
        <v/>
      </c>
      <c r="AN8" s="43" t="str">
        <f t="shared" si="8"/>
        <v/>
      </c>
      <c r="AO8" s="42" t="str">
        <f>IFERROR(INDEX(V!$R:$R,MATCH(AP8,V!$L:$L,0)),"")</f>
        <v/>
      </c>
      <c r="AP8" s="43" t="str">
        <f t="shared" si="9"/>
        <v/>
      </c>
    </row>
    <row r="9" spans="1:42">
      <c r="A9" s="11">
        <v>3</v>
      </c>
      <c r="B9" s="17" t="s">
        <v>426</v>
      </c>
      <c r="C9" s="13">
        <v>13</v>
      </c>
      <c r="D9" s="14" t="s">
        <v>346</v>
      </c>
      <c r="E9" s="14">
        <v>1</v>
      </c>
      <c r="F9" s="15" t="s">
        <v>427</v>
      </c>
      <c r="G9" s="13">
        <v>11</v>
      </c>
      <c r="H9" s="14" t="s">
        <v>346</v>
      </c>
      <c r="I9" s="14">
        <v>8</v>
      </c>
      <c r="J9" s="15" t="s">
        <v>360</v>
      </c>
      <c r="K9" s="13">
        <v>13</v>
      </c>
      <c r="L9" s="14" t="s">
        <v>346</v>
      </c>
      <c r="M9" s="14">
        <v>4</v>
      </c>
      <c r="N9" s="15" t="s">
        <v>428</v>
      </c>
      <c r="O9" s="13">
        <v>11</v>
      </c>
      <c r="P9" s="14" t="s">
        <v>346</v>
      </c>
      <c r="Q9" s="14">
        <v>12</v>
      </c>
      <c r="R9" s="15" t="s">
        <v>369</v>
      </c>
      <c r="S9" s="13"/>
      <c r="T9" s="14"/>
      <c r="U9" s="14"/>
      <c r="V9" s="15"/>
      <c r="W9" s="28">
        <f>IF(C9&gt;E9,W$2,IF(C9&lt;E9,W$4,IF(ISNUMBER(C9),W$3,0)))+IF(G9&gt;I9,W$2,IF(G9&lt;I9,W$4,IF(ISNUMBER(G9),W$3,0)))+IF(K9&gt;M9,W$2,IF(K9&lt;M9,W$4,IF(ISNUMBER(K9),W$3,0)))+IF(O9&gt;Q9,W$2,IF(O9&lt;Q9,W$4,IF(ISNUMBER(O9),W$3,0)))+IF(S9&gt;U9,W$2,IF(S9&lt;U9,W$4,IF(ISNUMBER(S9),W$3,0)))</f>
        <v>3</v>
      </c>
      <c r="X9" s="29">
        <v>18</v>
      </c>
      <c r="Y9" s="29">
        <v>60</v>
      </c>
      <c r="Z9" s="13">
        <f t="shared" si="0"/>
        <v>48</v>
      </c>
      <c r="AA9" s="14" t="s">
        <v>346</v>
      </c>
      <c r="AB9" s="39">
        <f t="shared" si="1"/>
        <v>25</v>
      </c>
      <c r="AC9" s="40">
        <f t="shared" si="2"/>
        <v>23</v>
      </c>
      <c r="AD9" s="41">
        <f t="shared" si="3"/>
        <v>234</v>
      </c>
      <c r="AE9" s="42">
        <f>IFERROR(INDEX(V!$R:$R,MATCH(AF9,V!$L:$L,0)),"")</f>
        <v>86</v>
      </c>
      <c r="AF9" s="43" t="str">
        <f t="shared" si="4"/>
        <v>Kenneth Muusikus</v>
      </c>
      <c r="AG9" s="42">
        <f>IFERROR(INDEX(V!$R:$R,MATCH(AH9,V!$L:$L,0)),"")</f>
        <v>148</v>
      </c>
      <c r="AH9" s="43" t="str">
        <f t="shared" si="5"/>
        <v>Olav Türk</v>
      </c>
      <c r="AI9" s="42" t="str">
        <f>IFERROR(INDEX(V!$R:$R,MATCH(AJ9,V!$L:$L,0)),"")</f>
        <v/>
      </c>
      <c r="AJ9" s="43" t="str">
        <f t="shared" si="6"/>
        <v/>
      </c>
      <c r="AK9" s="42" t="str">
        <f>IFERROR(INDEX(V!$R:$R,MATCH(AL9,V!$L:$L,0)),"")</f>
        <v/>
      </c>
      <c r="AL9" s="43" t="str">
        <f t="shared" si="7"/>
        <v/>
      </c>
      <c r="AM9" s="42" t="str">
        <f>IFERROR(INDEX(V!$R:$R,MATCH(AN9,V!$L:$L,0)),"")</f>
        <v/>
      </c>
      <c r="AN9" s="43" t="str">
        <f t="shared" si="8"/>
        <v/>
      </c>
      <c r="AO9" s="42" t="str">
        <f>IFERROR(INDEX(V!$R:$R,MATCH(AP9,V!$L:$L,0)),"")</f>
        <v/>
      </c>
      <c r="AP9" s="43" t="str">
        <f t="shared" si="9"/>
        <v/>
      </c>
    </row>
    <row r="10" spans="1:42">
      <c r="A10" s="11">
        <v>4</v>
      </c>
      <c r="B10" s="17" t="s">
        <v>360</v>
      </c>
      <c r="C10" s="13">
        <v>13</v>
      </c>
      <c r="D10" s="14" t="s">
        <v>346</v>
      </c>
      <c r="E10" s="14">
        <v>5</v>
      </c>
      <c r="F10" s="15" t="s">
        <v>347</v>
      </c>
      <c r="G10" s="13">
        <v>8</v>
      </c>
      <c r="H10" s="14" t="s">
        <v>346</v>
      </c>
      <c r="I10" s="14">
        <v>11</v>
      </c>
      <c r="J10" s="15" t="s">
        <v>426</v>
      </c>
      <c r="K10" s="13">
        <v>13</v>
      </c>
      <c r="L10" s="14" t="s">
        <v>346</v>
      </c>
      <c r="M10" s="14">
        <v>8</v>
      </c>
      <c r="N10" s="15" t="s">
        <v>375</v>
      </c>
      <c r="O10" s="13">
        <v>13</v>
      </c>
      <c r="P10" s="14" t="s">
        <v>346</v>
      </c>
      <c r="Q10" s="14">
        <v>2</v>
      </c>
      <c r="R10" s="15" t="s">
        <v>428</v>
      </c>
      <c r="S10" s="13"/>
      <c r="T10" s="14"/>
      <c r="U10" s="14"/>
      <c r="V10" s="15"/>
      <c r="W10" s="28">
        <f>IF(C10&gt;E10,W$2,IF(C10&lt;E10,W$4,IF(ISNUMBER(C10),W$3,0)))+IF(G10&gt;I10,W$2,IF(G10&lt;I10,W$4,IF(ISNUMBER(G10),W$3,0)))+IF(K10&gt;M10,W$2,IF(K10&lt;M10,W$4,IF(ISNUMBER(K10),W$3,0)))+IF(O10&gt;Q10,W$2,IF(O10&lt;Q10,W$4,IF(ISNUMBER(O10),W$3,0)))+IF(S10&gt;U10,W$2,IF(S10&lt;U10,W$4,IF(ISNUMBER(S10),W$3,0)))</f>
        <v>3</v>
      </c>
      <c r="X10" s="29">
        <v>14</v>
      </c>
      <c r="Y10" s="29">
        <v>60</v>
      </c>
      <c r="Z10" s="13">
        <f t="shared" si="0"/>
        <v>47</v>
      </c>
      <c r="AA10" s="14" t="s">
        <v>346</v>
      </c>
      <c r="AB10" s="39">
        <f t="shared" si="1"/>
        <v>26</v>
      </c>
      <c r="AC10" s="40">
        <f t="shared" si="2"/>
        <v>21</v>
      </c>
      <c r="AD10" s="41">
        <f t="shared" si="3"/>
        <v>292</v>
      </c>
      <c r="AE10" s="42">
        <f>IFERROR(INDEX(V!$R:$R,MATCH(AF10,V!$L:$L,0)),"")</f>
        <v>146</v>
      </c>
      <c r="AF10" s="43" t="str">
        <f t="shared" si="4"/>
        <v>Meelis Luud</v>
      </c>
      <c r="AG10" s="42">
        <f>IFERROR(INDEX(V!$R:$R,MATCH(AH10,V!$L:$L,0)),"")</f>
        <v>146</v>
      </c>
      <c r="AH10" s="43" t="str">
        <f t="shared" si="5"/>
        <v>Sander Rose</v>
      </c>
      <c r="AI10" s="42" t="str">
        <f>IFERROR(INDEX(V!$R:$R,MATCH(AJ10,V!$L:$L,0)),"")</f>
        <v/>
      </c>
      <c r="AJ10" s="43" t="str">
        <f t="shared" si="6"/>
        <v/>
      </c>
      <c r="AK10" s="42" t="str">
        <f>IFERROR(INDEX(V!$R:$R,MATCH(AL10,V!$L:$L,0)),"")</f>
        <v/>
      </c>
      <c r="AL10" s="43" t="str">
        <f t="shared" si="7"/>
        <v/>
      </c>
      <c r="AM10" s="42" t="str">
        <f>IFERROR(INDEX(V!$R:$R,MATCH(AN10,V!$L:$L,0)),"")</f>
        <v/>
      </c>
      <c r="AN10" s="43" t="str">
        <f t="shared" si="8"/>
        <v/>
      </c>
      <c r="AO10" s="42" t="str">
        <f>IFERROR(INDEX(V!$R:$R,MATCH(AP10,V!$L:$L,0)),"")</f>
        <v/>
      </c>
      <c r="AP10" s="43" t="str">
        <f t="shared" si="9"/>
        <v/>
      </c>
    </row>
    <row r="11" spans="1:42">
      <c r="A11" s="11">
        <v>5</v>
      </c>
      <c r="B11" s="16" t="s">
        <v>429</v>
      </c>
      <c r="C11" s="13">
        <v>3</v>
      </c>
      <c r="D11" s="14" t="s">
        <v>346</v>
      </c>
      <c r="E11" s="14">
        <v>13</v>
      </c>
      <c r="F11" s="15" t="s">
        <v>359</v>
      </c>
      <c r="G11" s="13">
        <v>10</v>
      </c>
      <c r="H11" s="14" t="s">
        <v>346</v>
      </c>
      <c r="I11" s="14">
        <v>5</v>
      </c>
      <c r="J11" s="15" t="s">
        <v>430</v>
      </c>
      <c r="K11" s="13">
        <v>13</v>
      </c>
      <c r="L11" s="14" t="s">
        <v>346</v>
      </c>
      <c r="M11" s="14">
        <v>11</v>
      </c>
      <c r="N11" s="15" t="s">
        <v>388</v>
      </c>
      <c r="O11" s="13">
        <v>10</v>
      </c>
      <c r="P11" s="14" t="s">
        <v>346</v>
      </c>
      <c r="Q11" s="14">
        <v>9</v>
      </c>
      <c r="R11" s="15" t="s">
        <v>356</v>
      </c>
      <c r="S11" s="13"/>
      <c r="T11" s="14"/>
      <c r="U11" s="14"/>
      <c r="V11" s="15"/>
      <c r="W11" s="28">
        <f>IF(C11&gt;E11,W$2,IF(C11&lt;E11,W$4,IF(ISNUMBER(C11),W$3,0)))+IF(G11&gt;I11,W$2,IF(G11&lt;I11,W$4,IF(ISNUMBER(G11),W$3,0)))+IF(K11&gt;M11,W$2,IF(K11&lt;M11,W$4,IF(ISNUMBER(K11),W$3,0)))+IF(O11&gt;Q11,W$2,IF(O11&lt;Q11,W$4,IF(ISNUMBER(O11),W$3,0)))+IF(S11&gt;U11,W$2,IF(S11&lt;U11,W$4,IF(ISNUMBER(S11),W$3,0)))</f>
        <v>3</v>
      </c>
      <c r="X11" s="29">
        <v>12</v>
      </c>
      <c r="Y11" s="29">
        <v>68</v>
      </c>
      <c r="Z11" s="13">
        <f t="shared" si="0"/>
        <v>36</v>
      </c>
      <c r="AA11" s="14" t="s">
        <v>346</v>
      </c>
      <c r="AB11" s="39">
        <f t="shared" si="1"/>
        <v>38</v>
      </c>
      <c r="AC11" s="40">
        <f t="shared" si="2"/>
        <v>-2</v>
      </c>
      <c r="AD11" s="41">
        <f t="shared" si="3"/>
        <v>98</v>
      </c>
      <c r="AE11" s="42">
        <f>IFERROR(INDEX(V!$R:$R,MATCH(AF11,V!$L:$L,0)),"")</f>
        <v>48</v>
      </c>
      <c r="AF11" s="43" t="str">
        <f t="shared" si="4"/>
        <v>Liidia Põllu</v>
      </c>
      <c r="AG11" s="42">
        <f>IFERROR(INDEX(V!$R:$R,MATCH(AH11,V!$L:$L,0)),"")</f>
        <v>50</v>
      </c>
      <c r="AH11" s="43" t="str">
        <f t="shared" si="5"/>
        <v>Tõnu Kapper</v>
      </c>
      <c r="AI11" s="42" t="str">
        <f>IFERROR(INDEX(V!$R:$R,MATCH(AJ11,V!$L:$L,0)),"")</f>
        <v/>
      </c>
      <c r="AJ11" s="43" t="str">
        <f t="shared" si="6"/>
        <v/>
      </c>
      <c r="AK11" s="42" t="str">
        <f>IFERROR(INDEX(V!$R:$R,MATCH(AL11,V!$L:$L,0)),"")</f>
        <v/>
      </c>
      <c r="AL11" s="43" t="str">
        <f t="shared" si="7"/>
        <v/>
      </c>
      <c r="AM11" s="42" t="str">
        <f>IFERROR(INDEX(V!$R:$R,MATCH(AN11,V!$L:$L,0)),"")</f>
        <v/>
      </c>
      <c r="AN11" s="43" t="str">
        <f t="shared" si="8"/>
        <v/>
      </c>
      <c r="AO11" s="42" t="str">
        <f>IFERROR(INDEX(V!$R:$R,MATCH(AP11,V!$L:$L,0)),"")</f>
        <v/>
      </c>
      <c r="AP11" s="43" t="str">
        <f t="shared" si="9"/>
        <v/>
      </c>
    </row>
    <row r="12" spans="1:42">
      <c r="A12" s="11">
        <v>6</v>
      </c>
      <c r="B12" s="17" t="s">
        <v>425</v>
      </c>
      <c r="C12" s="13">
        <v>13</v>
      </c>
      <c r="D12" s="14" t="s">
        <v>346</v>
      </c>
      <c r="E12" s="14">
        <v>6</v>
      </c>
      <c r="F12" s="15" t="s">
        <v>430</v>
      </c>
      <c r="G12" s="13">
        <v>13</v>
      </c>
      <c r="H12" s="14" t="s">
        <v>346</v>
      </c>
      <c r="I12" s="14">
        <v>7</v>
      </c>
      <c r="J12" s="15" t="s">
        <v>359</v>
      </c>
      <c r="K12" s="13">
        <v>2</v>
      </c>
      <c r="L12" s="14" t="s">
        <v>346</v>
      </c>
      <c r="M12" s="14">
        <v>13</v>
      </c>
      <c r="N12" s="15" t="s">
        <v>369</v>
      </c>
      <c r="O12" s="13">
        <v>8</v>
      </c>
      <c r="P12" s="14" t="s">
        <v>346</v>
      </c>
      <c r="Q12" s="14">
        <v>11</v>
      </c>
      <c r="R12" s="15" t="s">
        <v>387</v>
      </c>
      <c r="S12" s="13"/>
      <c r="T12" s="14"/>
      <c r="U12" s="14"/>
      <c r="V12" s="15"/>
      <c r="W12" s="28">
        <f>IF(C12&gt;E12,W$2,IF(C12&lt;E12,W$4,IF(ISNUMBER(C12),W$3,0)))+IF(G12&gt;I12,W$2,IF(G12&lt;I12,W$4,IF(ISNUMBER(G12),W$3,0)))+IF(K12&gt;M12,W$2,IF(K12&lt;M12,W$4,IF(ISNUMBER(K12),W$3,0)))+IF(O12&gt;Q12,W$2,IF(O12&lt;Q12,W$4,IF(ISNUMBER(O12),W$3,0)))+IF(S12&gt;U12,W$2,IF(S12&lt;U12,W$4,IF(ISNUMBER(S12),W$3,0)))</f>
        <v>2</v>
      </c>
      <c r="X12" s="29">
        <v>20</v>
      </c>
      <c r="Y12" s="29">
        <v>72</v>
      </c>
      <c r="Z12" s="13">
        <f t="shared" si="0"/>
        <v>36</v>
      </c>
      <c r="AA12" s="14" t="s">
        <v>346</v>
      </c>
      <c r="AB12" s="39">
        <f t="shared" si="1"/>
        <v>37</v>
      </c>
      <c r="AC12" s="40">
        <f t="shared" si="2"/>
        <v>-1</v>
      </c>
      <c r="AD12" s="41">
        <f t="shared" si="3"/>
        <v>166</v>
      </c>
      <c r="AE12" s="42">
        <f>IFERROR(INDEX(V!$R:$R,MATCH(AF12,V!$L:$L,0)),"")</f>
        <v>112</v>
      </c>
      <c r="AF12" s="43" t="str">
        <f t="shared" si="4"/>
        <v>Jaan Sepp</v>
      </c>
      <c r="AG12" s="42">
        <f>IFERROR(INDEX(V!$R:$R,MATCH(AH12,V!$L:$L,0)),"")</f>
        <v>54</v>
      </c>
      <c r="AH12" s="43" t="str">
        <f t="shared" si="5"/>
        <v>Janek Tarto</v>
      </c>
      <c r="AI12" s="42" t="str">
        <f>IFERROR(INDEX(V!$R:$R,MATCH(AJ12,V!$L:$L,0)),"")</f>
        <v/>
      </c>
      <c r="AJ12" s="43" t="str">
        <f t="shared" si="6"/>
        <v/>
      </c>
      <c r="AK12" s="42" t="str">
        <f>IFERROR(INDEX(V!$R:$R,MATCH(AL12,V!$L:$L,0)),"")</f>
        <v/>
      </c>
      <c r="AL12" s="43" t="str">
        <f t="shared" si="7"/>
        <v/>
      </c>
      <c r="AM12" s="42" t="str">
        <f>IFERROR(INDEX(V!$R:$R,MATCH(AN12,V!$L:$L,0)),"")</f>
        <v/>
      </c>
      <c r="AN12" s="43" t="str">
        <f t="shared" si="8"/>
        <v/>
      </c>
      <c r="AO12" s="42" t="str">
        <f>IFERROR(INDEX(V!$R:$R,MATCH(AP12,V!$L:$L,0)),"")</f>
        <v/>
      </c>
      <c r="AP12" s="43" t="str">
        <f t="shared" si="9"/>
        <v/>
      </c>
    </row>
    <row r="13" spans="1:42">
      <c r="A13" s="11">
        <v>7</v>
      </c>
      <c r="B13" s="18" t="s">
        <v>359</v>
      </c>
      <c r="C13" s="13">
        <v>13</v>
      </c>
      <c r="D13" s="14" t="s">
        <v>346</v>
      </c>
      <c r="E13" s="14">
        <v>3</v>
      </c>
      <c r="F13" s="15" t="s">
        <v>429</v>
      </c>
      <c r="G13" s="13">
        <v>7</v>
      </c>
      <c r="H13" s="14" t="s">
        <v>346</v>
      </c>
      <c r="I13" s="14">
        <v>13</v>
      </c>
      <c r="J13" s="15" t="s">
        <v>425</v>
      </c>
      <c r="K13" s="13">
        <v>8</v>
      </c>
      <c r="L13" s="14" t="s">
        <v>346</v>
      </c>
      <c r="M13" s="14">
        <v>10</v>
      </c>
      <c r="N13" s="15" t="s">
        <v>387</v>
      </c>
      <c r="O13" s="13">
        <v>13</v>
      </c>
      <c r="P13" s="14" t="s">
        <v>346</v>
      </c>
      <c r="Q13" s="14">
        <v>4</v>
      </c>
      <c r="R13" s="15" t="s">
        <v>375</v>
      </c>
      <c r="S13" s="13"/>
      <c r="T13" s="14"/>
      <c r="U13" s="14"/>
      <c r="V13" s="15"/>
      <c r="W13" s="28">
        <f>IF(C13&gt;E13,W$2,IF(C13&lt;E13,W$4,IF(ISNUMBER(C13),W$3,0)))+IF(G13&gt;I13,W$2,IF(G13&lt;I13,W$4,IF(ISNUMBER(G13),W$3,0)))+IF(K13&gt;M13,W$2,IF(K13&lt;M13,W$4,IF(ISNUMBER(K13),W$3,0)))+IF(O13&gt;Q13,W$2,IF(O13&lt;Q13,W$4,IF(ISNUMBER(O13),W$3,0)))+IF(S13&gt;U13,W$2,IF(S13&lt;U13,W$4,IF(ISNUMBER(S13),W$3,0)))</f>
        <v>2</v>
      </c>
      <c r="X13" s="29">
        <v>18</v>
      </c>
      <c r="Y13" s="29">
        <v>66</v>
      </c>
      <c r="Z13" s="13">
        <f t="shared" si="0"/>
        <v>41</v>
      </c>
      <c r="AA13" s="14" t="s">
        <v>346</v>
      </c>
      <c r="AB13" s="39">
        <f t="shared" si="1"/>
        <v>30</v>
      </c>
      <c r="AC13" s="40">
        <f t="shared" si="2"/>
        <v>11</v>
      </c>
      <c r="AD13" s="41">
        <f t="shared" si="3"/>
        <v>322</v>
      </c>
      <c r="AE13" s="42">
        <f>IFERROR(INDEX(V!$R:$R,MATCH(AF13,V!$L:$L,0)),"")</f>
        <v>146</v>
      </c>
      <c r="AF13" s="43" t="str">
        <f t="shared" si="4"/>
        <v>Kristel Tihhonjuk</v>
      </c>
      <c r="AG13" s="42">
        <f>IFERROR(INDEX(V!$R:$R,MATCH(AH13,V!$L:$L,0)),"")</f>
        <v>176</v>
      </c>
      <c r="AH13" s="43" t="str">
        <f t="shared" si="5"/>
        <v>Vadim Tihhonjuk</v>
      </c>
      <c r="AI13" s="42" t="str">
        <f>IFERROR(INDEX(V!$R:$R,MATCH(AJ13,V!$L:$L,0)),"")</f>
        <v/>
      </c>
      <c r="AJ13" s="43" t="str">
        <f t="shared" si="6"/>
        <v/>
      </c>
      <c r="AK13" s="42" t="str">
        <f>IFERROR(INDEX(V!$R:$R,MATCH(AL13,V!$L:$L,0)),"")</f>
        <v/>
      </c>
      <c r="AL13" s="43" t="str">
        <f t="shared" si="7"/>
        <v/>
      </c>
      <c r="AM13" s="42" t="str">
        <f>IFERROR(INDEX(V!$R:$R,MATCH(AN13,V!$L:$L,0)),"")</f>
        <v/>
      </c>
      <c r="AN13" s="43" t="str">
        <f t="shared" si="8"/>
        <v/>
      </c>
      <c r="AO13" s="42" t="str">
        <f>IFERROR(INDEX(V!$R:$R,MATCH(AP13,V!$L:$L,0)),"")</f>
        <v/>
      </c>
      <c r="AP13" s="43" t="str">
        <f t="shared" si="9"/>
        <v/>
      </c>
    </row>
    <row r="14" spans="1:42">
      <c r="A14" s="11">
        <v>8</v>
      </c>
      <c r="B14" s="18" t="s">
        <v>428</v>
      </c>
      <c r="C14" s="13">
        <v>13</v>
      </c>
      <c r="D14" s="14" t="s">
        <v>346</v>
      </c>
      <c r="E14" s="14">
        <v>8</v>
      </c>
      <c r="F14" s="15" t="s">
        <v>375</v>
      </c>
      <c r="G14" s="13">
        <v>11</v>
      </c>
      <c r="H14" s="14" t="s">
        <v>346</v>
      </c>
      <c r="I14" s="14">
        <v>10</v>
      </c>
      <c r="J14" s="15" t="s">
        <v>356</v>
      </c>
      <c r="K14" s="13">
        <v>4</v>
      </c>
      <c r="L14" s="14" t="s">
        <v>346</v>
      </c>
      <c r="M14" s="14">
        <v>13</v>
      </c>
      <c r="N14" s="15" t="s">
        <v>426</v>
      </c>
      <c r="O14" s="13">
        <v>2</v>
      </c>
      <c r="P14" s="14" t="s">
        <v>346</v>
      </c>
      <c r="Q14" s="14">
        <v>13</v>
      </c>
      <c r="R14" s="15" t="s">
        <v>360</v>
      </c>
      <c r="S14" s="13"/>
      <c r="T14" s="14"/>
      <c r="U14" s="14"/>
      <c r="V14" s="15"/>
      <c r="W14" s="28">
        <f>IF(C14&gt;E14,W$2,IF(C14&lt;E14,W$4,IF(ISNUMBER(C14),W$3,0)))+IF(G14&gt;I14,W$2,IF(G14&lt;I14,W$4,IF(ISNUMBER(G14),W$3,0)))+IF(K14&gt;M14,W$2,IF(K14&lt;M14,W$4,IF(ISNUMBER(K14),W$3,0)))+IF(O14&gt;Q14,W$2,IF(O14&lt;Q14,W$4,IF(ISNUMBER(O14),W$3,0)))+IF(S14&gt;U14,W$2,IF(S14&lt;U14,W$4,IF(ISNUMBER(S14),W$3,0)))</f>
        <v>2</v>
      </c>
      <c r="X14" s="29">
        <v>16</v>
      </c>
      <c r="Y14" s="29">
        <v>64</v>
      </c>
      <c r="Z14" s="13">
        <f t="shared" si="0"/>
        <v>30</v>
      </c>
      <c r="AA14" s="14" t="s">
        <v>346</v>
      </c>
      <c r="AB14" s="39">
        <f t="shared" si="1"/>
        <v>44</v>
      </c>
      <c r="AC14" s="40">
        <f t="shared" si="2"/>
        <v>-14</v>
      </c>
      <c r="AD14" s="41">
        <f t="shared" si="3"/>
        <v>176</v>
      </c>
      <c r="AE14" s="42">
        <f>IFERROR(INDEX(V!$R:$R,MATCH(AF14,V!$L:$L,0)),"")</f>
        <v>74</v>
      </c>
      <c r="AF14" s="43" t="str">
        <f t="shared" si="4"/>
        <v>Aigi Orro</v>
      </c>
      <c r="AG14" s="42">
        <f>IFERROR(INDEX(V!$R:$R,MATCH(AH14,V!$L:$L,0)),"")</f>
        <v>102</v>
      </c>
      <c r="AH14" s="43" t="str">
        <f t="shared" si="5"/>
        <v>Elmo Lageda</v>
      </c>
      <c r="AI14" s="42" t="str">
        <f>IFERROR(INDEX(V!$R:$R,MATCH(AJ14,V!$L:$L,0)),"")</f>
        <v/>
      </c>
      <c r="AJ14" s="43" t="str">
        <f t="shared" si="6"/>
        <v/>
      </c>
      <c r="AK14" s="42" t="str">
        <f>IFERROR(INDEX(V!$R:$R,MATCH(AL14,V!$L:$L,0)),"")</f>
        <v/>
      </c>
      <c r="AL14" s="43" t="str">
        <f t="shared" si="7"/>
        <v/>
      </c>
      <c r="AM14" s="42" t="str">
        <f>IFERROR(INDEX(V!$R:$R,MATCH(AN14,V!$L:$L,0)),"")</f>
        <v/>
      </c>
      <c r="AN14" s="43" t="str">
        <f t="shared" si="8"/>
        <v/>
      </c>
      <c r="AO14" s="42" t="str">
        <f>IFERROR(INDEX(V!$R:$R,MATCH(AP14,V!$L:$L,0)),"")</f>
        <v/>
      </c>
      <c r="AP14" s="43" t="str">
        <f t="shared" si="9"/>
        <v/>
      </c>
    </row>
    <row r="15" spans="1:42">
      <c r="A15" s="11">
        <v>9</v>
      </c>
      <c r="B15" s="17" t="s">
        <v>388</v>
      </c>
      <c r="C15" s="13">
        <v>3</v>
      </c>
      <c r="D15" s="14" t="s">
        <v>346</v>
      </c>
      <c r="E15" s="14">
        <v>10</v>
      </c>
      <c r="F15" s="15" t="s">
        <v>387</v>
      </c>
      <c r="G15" s="13">
        <v>13</v>
      </c>
      <c r="H15" s="14" t="s">
        <v>346</v>
      </c>
      <c r="I15" s="14">
        <v>5</v>
      </c>
      <c r="J15" s="15" t="s">
        <v>347</v>
      </c>
      <c r="K15" s="13">
        <v>11</v>
      </c>
      <c r="L15" s="14" t="s">
        <v>346</v>
      </c>
      <c r="M15" s="14">
        <v>13</v>
      </c>
      <c r="N15" s="15" t="s">
        <v>429</v>
      </c>
      <c r="O15" s="13">
        <v>13</v>
      </c>
      <c r="P15" s="14" t="s">
        <v>346</v>
      </c>
      <c r="Q15" s="14">
        <v>6</v>
      </c>
      <c r="R15" s="15" t="s">
        <v>430</v>
      </c>
      <c r="S15" s="13"/>
      <c r="T15" s="14"/>
      <c r="U15" s="14"/>
      <c r="V15" s="15"/>
      <c r="W15" s="28">
        <f>IF(C15&gt;E15,W$2,IF(C15&lt;E15,W$4,IF(ISNUMBER(C15),W$3,0)))+IF(G15&gt;I15,W$2,IF(G15&lt;I15,W$4,IF(ISNUMBER(G15),W$3,0)))+IF(K15&gt;M15,W$2,IF(K15&lt;M15,W$4,IF(ISNUMBER(K15),W$3,0)))+IF(O15&gt;Q15,W$2,IF(O15&lt;Q15,W$4,IF(ISNUMBER(O15),W$3,0)))+IF(S15&gt;U15,W$2,IF(S15&lt;U15,W$4,IF(ISNUMBER(S15),W$3,0)))</f>
        <v>2</v>
      </c>
      <c r="X15" s="29">
        <v>16</v>
      </c>
      <c r="Y15" s="29">
        <v>60</v>
      </c>
      <c r="Z15" s="13">
        <f t="shared" si="0"/>
        <v>40</v>
      </c>
      <c r="AA15" s="14" t="s">
        <v>346</v>
      </c>
      <c r="AB15" s="39">
        <f t="shared" si="1"/>
        <v>34</v>
      </c>
      <c r="AC15" s="40">
        <f t="shared" si="2"/>
        <v>6</v>
      </c>
      <c r="AD15" s="41">
        <f t="shared" si="3"/>
        <v>156</v>
      </c>
      <c r="AE15" s="42">
        <f>IFERROR(INDEX(V!$R:$R,MATCH(AF15,V!$L:$L,0)),"")</f>
        <v>78</v>
      </c>
      <c r="AF15" s="43" t="str">
        <f t="shared" si="4"/>
        <v>Sander Aul</v>
      </c>
      <c r="AG15" s="42">
        <f>IFERROR(INDEX(V!$R:$R,MATCH(AH15,V!$L:$L,0)),"")</f>
        <v>78</v>
      </c>
      <c r="AH15" s="43" t="str">
        <f t="shared" si="5"/>
        <v>Väino Aul</v>
      </c>
      <c r="AI15" s="42" t="str">
        <f>IFERROR(INDEX(V!$R:$R,MATCH(AJ15,V!$L:$L,0)),"")</f>
        <v/>
      </c>
      <c r="AJ15" s="43" t="str">
        <f t="shared" si="6"/>
        <v/>
      </c>
      <c r="AK15" s="42" t="str">
        <f>IFERROR(INDEX(V!$R:$R,MATCH(AL15,V!$L:$L,0)),"")</f>
        <v/>
      </c>
      <c r="AL15" s="43" t="str">
        <f t="shared" si="7"/>
        <v/>
      </c>
      <c r="AM15" s="42" t="str">
        <f>IFERROR(INDEX(V!$R:$R,MATCH(AN15,V!$L:$L,0)),"")</f>
        <v/>
      </c>
      <c r="AN15" s="43" t="str">
        <f t="shared" si="8"/>
        <v/>
      </c>
      <c r="AO15" s="42" t="str">
        <f>IFERROR(INDEX(V!$R:$R,MATCH(AP15,V!$L:$L,0)),"")</f>
        <v/>
      </c>
      <c r="AP15" s="43" t="str">
        <f t="shared" si="9"/>
        <v/>
      </c>
    </row>
    <row r="16" spans="1:42">
      <c r="A16" s="11">
        <v>10</v>
      </c>
      <c r="B16" s="18" t="s">
        <v>356</v>
      </c>
      <c r="C16" s="13">
        <v>8</v>
      </c>
      <c r="D16" s="14" t="s">
        <v>346</v>
      </c>
      <c r="E16" s="14">
        <v>13</v>
      </c>
      <c r="F16" s="15" t="s">
        <v>369</v>
      </c>
      <c r="G16" s="13">
        <v>10</v>
      </c>
      <c r="H16" s="14" t="s">
        <v>346</v>
      </c>
      <c r="I16" s="14">
        <v>11</v>
      </c>
      <c r="J16" s="15" t="s">
        <v>428</v>
      </c>
      <c r="K16" s="13">
        <v>13</v>
      </c>
      <c r="L16" s="14" t="s">
        <v>346</v>
      </c>
      <c r="M16" s="14">
        <v>5</v>
      </c>
      <c r="N16" s="15" t="s">
        <v>427</v>
      </c>
      <c r="O16" s="13">
        <v>9</v>
      </c>
      <c r="P16" s="14" t="s">
        <v>346</v>
      </c>
      <c r="Q16" s="14">
        <v>10</v>
      </c>
      <c r="R16" s="15" t="s">
        <v>429</v>
      </c>
      <c r="S16" s="13"/>
      <c r="T16" s="14"/>
      <c r="U16" s="14"/>
      <c r="V16" s="15"/>
      <c r="W16" s="28">
        <f t="shared" ref="W16:W21" si="10">IF(C16&gt;E16,W$2,IF(C16&lt;E16,W$4,IF(ISNUMBER(C16),W$3,0)))+IF(G16&gt;I16,W$2,IF(G16&lt;I16,W$4,IF(ISNUMBER(G16),W$3,0)))+IF(K16&gt;M16,W$2,IF(K16&lt;M16,W$4,IF(ISNUMBER(K16),W$3,0)))+IF(O16&gt;Q16,W$2,IF(O16&lt;Q16,W$4,IF(ISNUMBER(O16),W$3,0)))+IF(S16&gt;U16,W$2,IF(S16&lt;U16,W$4,IF(ISNUMBER(S16),W$3,0)))</f>
        <v>1</v>
      </c>
      <c r="X16" s="29">
        <v>18</v>
      </c>
      <c r="Y16" s="29">
        <v>58</v>
      </c>
      <c r="Z16" s="13">
        <f t="shared" ref="Z16:Z21" si="11">C16+G16+K16+O16+S16</f>
        <v>40</v>
      </c>
      <c r="AA16" s="14" t="s">
        <v>346</v>
      </c>
      <c r="AB16" s="39">
        <f t="shared" ref="AB16:AB21" si="12">E16+I16+M16+Q16+U16</f>
        <v>39</v>
      </c>
      <c r="AC16" s="40">
        <f t="shared" ref="AC16:AC21" si="13">Z16-AB16</f>
        <v>1</v>
      </c>
      <c r="AD16" s="41">
        <f t="shared" ref="AD16:AD21" si="14">SUM(AE16:AL16)</f>
        <v>140</v>
      </c>
      <c r="AE16" s="42">
        <f>IFERROR(INDEX(V!$R:$R,MATCH(AF16,V!$L:$L,0)),"")</f>
        <v>70</v>
      </c>
      <c r="AF16" s="43" t="str">
        <f t="shared" ref="AF16:AF21" si="15">IFERROR(LEFT($B16,(FIND(",",$B16,1)-1)),"")</f>
        <v>Ljudmila Varendi</v>
      </c>
      <c r="AG16" s="42">
        <f>IFERROR(INDEX(V!$R:$R,MATCH(AH16,V!$L:$L,0)),"")</f>
        <v>70</v>
      </c>
      <c r="AH16" s="43" t="str">
        <f t="shared" ref="AH16:AH21" si="16">IFERROR(MID($B16,FIND(", ",$B16)+2,256),"")</f>
        <v>Viktor Švarõgin</v>
      </c>
      <c r="AI16" s="42" t="str">
        <f>IFERROR(INDEX(V!$R:$R,MATCH(AJ16,V!$L:$L,0)),"")</f>
        <v/>
      </c>
      <c r="AJ16" s="43" t="str">
        <f t="shared" ref="AJ16:AJ21" si="17">IFERROR(MID($B16,FIND("^",SUBSTITUTE($B16,", ","^",1))+2,FIND("^",SUBSTITUTE($B16,", ","^",2))-FIND("^",SUBSTITUTE($B16,", ","^",1))-2),"")</f>
        <v/>
      </c>
      <c r="AK16" s="42" t="str">
        <f>IFERROR(INDEX(V!$R:$R,MATCH(AL16,V!$L:$L,0)),"")</f>
        <v/>
      </c>
      <c r="AL16" s="43" t="str">
        <f t="shared" ref="AL16:AL21" si="18">IFERROR(MID($B16,FIND(", ",$B16,FIND(", ",$B16,FIND(", ",$B16))+1)+2,30000),"")</f>
        <v/>
      </c>
      <c r="AM16" s="42" t="str">
        <f>IFERROR(INDEX(V!$R:$R,MATCH(AN16,V!$L:$L,0)),"")</f>
        <v/>
      </c>
      <c r="AN16" s="43" t="str">
        <f t="shared" ref="AN16:AN21" si="19">IFERROR(MID($B16,FIND(", ",$B16,FIND(", ",$B16)+1)+2,FIND(", ",$B16,FIND(", ",$B16,FIND(", ",$B16)+1)+1)-FIND(", ",$B16,FIND(", ",$B16)+1)-2),"")</f>
        <v/>
      </c>
      <c r="AO16" s="42" t="str">
        <f>IFERROR(INDEX(V!$R:$R,MATCH(AP16,V!$L:$L,0)),"")</f>
        <v/>
      </c>
      <c r="AP16" s="43" t="str">
        <f t="shared" ref="AP16:AP21" si="20">IFERROR(MID($B16,FIND(", ",$B16,FIND(", ",$B16,FIND(", ",$B16)+1)+1)+2,30000),"")</f>
        <v/>
      </c>
    </row>
    <row r="17" spans="1:42">
      <c r="A17" s="11">
        <v>11</v>
      </c>
      <c r="B17" s="17" t="s">
        <v>430</v>
      </c>
      <c r="C17" s="13">
        <v>6</v>
      </c>
      <c r="D17" s="14" t="s">
        <v>346</v>
      </c>
      <c r="E17" s="14">
        <v>13</v>
      </c>
      <c r="F17" s="15" t="s">
        <v>425</v>
      </c>
      <c r="G17" s="13">
        <v>5</v>
      </c>
      <c r="H17" s="14" t="s">
        <v>346</v>
      </c>
      <c r="I17" s="14">
        <v>10</v>
      </c>
      <c r="J17" s="15" t="s">
        <v>429</v>
      </c>
      <c r="K17" s="13">
        <v>12</v>
      </c>
      <c r="L17" s="14" t="s">
        <v>346</v>
      </c>
      <c r="M17" s="14">
        <v>8</v>
      </c>
      <c r="N17" s="15" t="s">
        <v>347</v>
      </c>
      <c r="O17" s="13">
        <v>6</v>
      </c>
      <c r="P17" s="14" t="s">
        <v>346</v>
      </c>
      <c r="Q17" s="14">
        <v>13</v>
      </c>
      <c r="R17" s="15" t="s">
        <v>388</v>
      </c>
      <c r="S17" s="13"/>
      <c r="T17" s="14"/>
      <c r="U17" s="14"/>
      <c r="V17" s="15"/>
      <c r="W17" s="28">
        <f t="shared" si="10"/>
        <v>1</v>
      </c>
      <c r="X17" s="29">
        <v>16</v>
      </c>
      <c r="Y17" s="29">
        <v>60</v>
      </c>
      <c r="Z17" s="13">
        <f t="shared" si="11"/>
        <v>29</v>
      </c>
      <c r="AA17" s="14" t="s">
        <v>346</v>
      </c>
      <c r="AB17" s="39">
        <f t="shared" si="12"/>
        <v>44</v>
      </c>
      <c r="AC17" s="40">
        <f t="shared" si="13"/>
        <v>-15</v>
      </c>
      <c r="AD17" s="41">
        <f t="shared" si="14"/>
        <v>186</v>
      </c>
      <c r="AE17" s="42">
        <f>IFERROR(INDEX(V!$R:$R,MATCH(AF17,V!$L:$L,0)),"")</f>
        <v>88</v>
      </c>
      <c r="AF17" s="43" t="str">
        <f t="shared" si="15"/>
        <v>Enn Tokman</v>
      </c>
      <c r="AG17" s="42">
        <f>IFERROR(INDEX(V!$R:$R,MATCH(AH17,V!$L:$L,0)),"")</f>
        <v>98</v>
      </c>
      <c r="AH17" s="43" t="str">
        <f t="shared" si="16"/>
        <v>Sirje Maala</v>
      </c>
      <c r="AI17" s="42" t="str">
        <f>IFERROR(INDEX(V!$R:$R,MATCH(AJ17,V!$L:$L,0)),"")</f>
        <v/>
      </c>
      <c r="AJ17" s="43" t="str">
        <f t="shared" si="17"/>
        <v/>
      </c>
      <c r="AK17" s="42" t="str">
        <f>IFERROR(INDEX(V!$R:$R,MATCH(AL17,V!$L:$L,0)),"")</f>
        <v/>
      </c>
      <c r="AL17" s="43" t="str">
        <f t="shared" si="18"/>
        <v/>
      </c>
      <c r="AM17" s="42" t="str">
        <f>IFERROR(INDEX(V!$R:$R,MATCH(AN17,V!$L:$L,0)),"")</f>
        <v/>
      </c>
      <c r="AN17" s="43" t="str">
        <f t="shared" si="19"/>
        <v/>
      </c>
      <c r="AO17" s="42" t="str">
        <f>IFERROR(INDEX(V!$R:$R,MATCH(AP17,V!$L:$L,0)),"")</f>
        <v/>
      </c>
      <c r="AP17" s="43" t="str">
        <f t="shared" si="20"/>
        <v/>
      </c>
    </row>
    <row r="18" spans="1:42">
      <c r="A18" s="11">
        <v>12</v>
      </c>
      <c r="B18" s="18" t="s">
        <v>375</v>
      </c>
      <c r="C18" s="13">
        <v>8</v>
      </c>
      <c r="D18" s="14" t="s">
        <v>346</v>
      </c>
      <c r="E18" s="14">
        <v>13</v>
      </c>
      <c r="F18" s="15" t="s">
        <v>428</v>
      </c>
      <c r="G18" s="13">
        <v>13</v>
      </c>
      <c r="H18" s="14" t="s">
        <v>346</v>
      </c>
      <c r="I18" s="14">
        <v>10</v>
      </c>
      <c r="J18" s="15" t="s">
        <v>427</v>
      </c>
      <c r="K18" s="13">
        <v>8</v>
      </c>
      <c r="L18" s="14" t="s">
        <v>346</v>
      </c>
      <c r="M18" s="14">
        <v>13</v>
      </c>
      <c r="N18" s="15" t="s">
        <v>360</v>
      </c>
      <c r="O18" s="13">
        <v>4</v>
      </c>
      <c r="P18" s="14" t="s">
        <v>346</v>
      </c>
      <c r="Q18" s="14">
        <v>13</v>
      </c>
      <c r="R18" s="15" t="s">
        <v>359</v>
      </c>
      <c r="S18" s="13"/>
      <c r="T18" s="14"/>
      <c r="U18" s="14"/>
      <c r="V18" s="15"/>
      <c r="W18" s="28">
        <f t="shared" si="10"/>
        <v>1</v>
      </c>
      <c r="X18" s="29">
        <v>14</v>
      </c>
      <c r="Y18" s="29">
        <v>60</v>
      </c>
      <c r="Z18" s="13">
        <f t="shared" si="11"/>
        <v>33</v>
      </c>
      <c r="AA18" s="14" t="s">
        <v>346</v>
      </c>
      <c r="AB18" s="39">
        <f t="shared" si="12"/>
        <v>49</v>
      </c>
      <c r="AC18" s="40">
        <f t="shared" si="13"/>
        <v>-16</v>
      </c>
      <c r="AD18" s="41">
        <f t="shared" si="14"/>
        <v>158</v>
      </c>
      <c r="AE18" s="42">
        <f>IFERROR(INDEX(V!$R:$R,MATCH(AF18,V!$L:$L,0)),"")</f>
        <v>98</v>
      </c>
      <c r="AF18" s="43" t="str">
        <f t="shared" si="15"/>
        <v>Marko Rooden</v>
      </c>
      <c r="AG18" s="42">
        <f>IFERROR(INDEX(V!$R:$R,MATCH(AH18,V!$L:$L,0)),"")</f>
        <v>60</v>
      </c>
      <c r="AH18" s="43" t="str">
        <f t="shared" si="16"/>
        <v>Martin Kuusmann</v>
      </c>
      <c r="AI18" s="42" t="str">
        <f>IFERROR(INDEX(V!$R:$R,MATCH(AJ18,V!$L:$L,0)),"")</f>
        <v/>
      </c>
      <c r="AJ18" s="43" t="str">
        <f t="shared" si="17"/>
        <v/>
      </c>
      <c r="AK18" s="42" t="str">
        <f>IFERROR(INDEX(V!$R:$R,MATCH(AL18,V!$L:$L,0)),"")</f>
        <v/>
      </c>
      <c r="AL18" s="43" t="str">
        <f t="shared" si="18"/>
        <v/>
      </c>
      <c r="AM18" s="42" t="str">
        <f>IFERROR(INDEX(V!$R:$R,MATCH(AN18,V!$L:$L,0)),"")</f>
        <v/>
      </c>
      <c r="AN18" s="43" t="str">
        <f t="shared" si="19"/>
        <v/>
      </c>
      <c r="AO18" s="42" t="str">
        <f>IFERROR(INDEX(V!$R:$R,MATCH(AP18,V!$L:$L,0)),"")</f>
        <v/>
      </c>
      <c r="AP18" s="43" t="str">
        <f t="shared" si="20"/>
        <v/>
      </c>
    </row>
    <row r="19" spans="1:42">
      <c r="A19" s="11">
        <v>13</v>
      </c>
      <c r="B19" s="17" t="s">
        <v>347</v>
      </c>
      <c r="C19" s="13">
        <v>5</v>
      </c>
      <c r="D19" s="14" t="s">
        <v>346</v>
      </c>
      <c r="E19" s="14">
        <v>13</v>
      </c>
      <c r="F19" s="15" t="s">
        <v>360</v>
      </c>
      <c r="G19" s="13">
        <v>5</v>
      </c>
      <c r="H19" s="14" t="s">
        <v>346</v>
      </c>
      <c r="I19" s="14">
        <v>13</v>
      </c>
      <c r="J19" s="15" t="s">
        <v>388</v>
      </c>
      <c r="K19" s="13">
        <v>8</v>
      </c>
      <c r="L19" s="14" t="s">
        <v>346</v>
      </c>
      <c r="M19" s="14">
        <v>12</v>
      </c>
      <c r="N19" s="15" t="s">
        <v>430</v>
      </c>
      <c r="O19" s="13">
        <v>13</v>
      </c>
      <c r="P19" s="14" t="s">
        <v>346</v>
      </c>
      <c r="Q19" s="14">
        <v>8</v>
      </c>
      <c r="R19" s="15" t="s">
        <v>427</v>
      </c>
      <c r="S19" s="13"/>
      <c r="T19" s="14"/>
      <c r="U19" s="14"/>
      <c r="V19" s="15"/>
      <c r="W19" s="28">
        <f t="shared" si="10"/>
        <v>1</v>
      </c>
      <c r="X19" s="29">
        <v>12</v>
      </c>
      <c r="Y19" s="29">
        <v>58</v>
      </c>
      <c r="Z19" s="13">
        <f t="shared" si="11"/>
        <v>31</v>
      </c>
      <c r="AA19" s="14" t="s">
        <v>346</v>
      </c>
      <c r="AB19" s="39">
        <f t="shared" si="12"/>
        <v>46</v>
      </c>
      <c r="AC19" s="40">
        <f t="shared" si="13"/>
        <v>-15</v>
      </c>
      <c r="AD19" s="41">
        <f t="shared" si="14"/>
        <v>96</v>
      </c>
      <c r="AE19" s="42">
        <f>IFERROR(INDEX(V!$R:$R,MATCH(AF19,V!$L:$L,0)),"")</f>
        <v>62</v>
      </c>
      <c r="AF19" s="43" t="str">
        <f t="shared" si="15"/>
        <v>Johannes Neiland</v>
      </c>
      <c r="AG19" s="42">
        <f>IFERROR(INDEX(V!$R:$R,MATCH(AH19,V!$L:$L,0)),"")</f>
        <v>34</v>
      </c>
      <c r="AH19" s="43" t="str">
        <f t="shared" si="16"/>
        <v>Urmas Randlaine</v>
      </c>
      <c r="AI19" s="42" t="str">
        <f>IFERROR(INDEX(V!$R:$R,MATCH(AJ19,V!$L:$L,0)),"")</f>
        <v/>
      </c>
      <c r="AJ19" s="43" t="str">
        <f t="shared" si="17"/>
        <v/>
      </c>
      <c r="AK19" s="42" t="str">
        <f>IFERROR(INDEX(V!$R:$R,MATCH(AL19,V!$L:$L,0)),"")</f>
        <v/>
      </c>
      <c r="AL19" s="43" t="str">
        <f t="shared" si="18"/>
        <v/>
      </c>
      <c r="AM19" s="42" t="str">
        <f>IFERROR(INDEX(V!$R:$R,MATCH(AN19,V!$L:$L,0)),"")</f>
        <v/>
      </c>
      <c r="AN19" s="43" t="str">
        <f t="shared" si="19"/>
        <v/>
      </c>
      <c r="AO19" s="42" t="str">
        <f>IFERROR(INDEX(V!$R:$R,MATCH(AP19,V!$L:$L,0)),"")</f>
        <v/>
      </c>
      <c r="AP19" s="43" t="str">
        <f t="shared" si="20"/>
        <v/>
      </c>
    </row>
    <row r="20" spans="1:42">
      <c r="A20" s="11">
        <v>14</v>
      </c>
      <c r="B20" s="18" t="s">
        <v>427</v>
      </c>
      <c r="C20" s="13">
        <v>1</v>
      </c>
      <c r="D20" s="14" t="s">
        <v>346</v>
      </c>
      <c r="E20" s="14">
        <v>13</v>
      </c>
      <c r="F20" s="15" t="s">
        <v>426</v>
      </c>
      <c r="G20" s="13">
        <v>10</v>
      </c>
      <c r="H20" s="14" t="s">
        <v>346</v>
      </c>
      <c r="I20" s="14">
        <v>13</v>
      </c>
      <c r="J20" s="15" t="s">
        <v>375</v>
      </c>
      <c r="K20" s="13">
        <v>5</v>
      </c>
      <c r="L20" s="14" t="s">
        <v>346</v>
      </c>
      <c r="M20" s="14">
        <v>13</v>
      </c>
      <c r="N20" s="15" t="s">
        <v>356</v>
      </c>
      <c r="O20" s="13">
        <v>8</v>
      </c>
      <c r="P20" s="14" t="s">
        <v>346</v>
      </c>
      <c r="Q20" s="14">
        <v>13</v>
      </c>
      <c r="R20" s="15" t="s">
        <v>347</v>
      </c>
      <c r="S20" s="13"/>
      <c r="T20" s="14"/>
      <c r="U20" s="14"/>
      <c r="V20" s="15"/>
      <c r="W20" s="28">
        <f t="shared" si="10"/>
        <v>0</v>
      </c>
      <c r="X20" s="29">
        <v>12</v>
      </c>
      <c r="Y20" s="29">
        <v>62</v>
      </c>
      <c r="Z20" s="13">
        <f t="shared" si="11"/>
        <v>24</v>
      </c>
      <c r="AA20" s="14" t="s">
        <v>346</v>
      </c>
      <c r="AB20" s="39">
        <f t="shared" si="12"/>
        <v>52</v>
      </c>
      <c r="AC20" s="40">
        <f t="shared" si="13"/>
        <v>-28</v>
      </c>
      <c r="AD20" s="41">
        <f t="shared" si="14"/>
        <v>174</v>
      </c>
      <c r="AE20" s="42">
        <f>IFERROR(INDEX(V!$R:$R,MATCH(AF20,V!$L:$L,0)),"")</f>
        <v>104</v>
      </c>
      <c r="AF20" s="43" t="str">
        <f t="shared" si="15"/>
        <v>Andres Veski</v>
      </c>
      <c r="AG20" s="42">
        <f>IFERROR(INDEX(V!$R:$R,MATCH(AH20,V!$L:$L,0)),"")</f>
        <v>70</v>
      </c>
      <c r="AH20" s="43" t="str">
        <f t="shared" si="16"/>
        <v>Melika Lehtla</v>
      </c>
      <c r="AI20" s="42" t="str">
        <f>IFERROR(INDEX(V!$R:$R,MATCH(AJ20,V!$L:$L,0)),"")</f>
        <v/>
      </c>
      <c r="AJ20" s="43" t="str">
        <f t="shared" si="17"/>
        <v/>
      </c>
      <c r="AK20" s="42" t="str">
        <f>IFERROR(INDEX(V!$R:$R,MATCH(AL20,V!$L:$L,0)),"")</f>
        <v/>
      </c>
      <c r="AL20" s="43" t="str">
        <f t="shared" si="18"/>
        <v/>
      </c>
      <c r="AM20" s="42" t="str">
        <f>IFERROR(INDEX(V!$R:$R,MATCH(AN20,V!$L:$L,0)),"")</f>
        <v/>
      </c>
      <c r="AN20" s="43" t="str">
        <f t="shared" si="19"/>
        <v/>
      </c>
      <c r="AO20" s="42" t="str">
        <f>IFERROR(INDEX(V!$R:$R,MATCH(AP20,V!$L:$L,0)),"")</f>
        <v/>
      </c>
      <c r="AP20" s="43" t="str">
        <f t="shared" si="20"/>
        <v/>
      </c>
    </row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  <row r="35" hidden="1"/>
    <row r="36" hidden="1"/>
    <row r="37" hidden="1"/>
    <row r="38" hidden="1"/>
    <row r="39" hidden="1"/>
    <row r="40" hidden="1"/>
    <row r="41" hidden="1"/>
    <row r="42" hidden="1"/>
    <row r="43" hidden="1"/>
    <row r="44" hidden="1"/>
    <row r="45" hidden="1"/>
    <row r="46" hidden="1"/>
    <row r="47" hidden="1"/>
    <row r="48" hidden="1"/>
    <row r="49" hidden="1"/>
    <row r="50" hidden="1"/>
    <row r="51" hidden="1"/>
    <row r="52" hidden="1"/>
    <row r="53" hidden="1"/>
    <row r="54" hidden="1"/>
    <row r="55" hidden="1"/>
    <row r="56" hidden="1"/>
    <row r="57" hidden="1"/>
    <row r="58" hidden="1"/>
    <row r="59" hidden="1"/>
    <row r="60" hidden="1"/>
    <row r="61" hidden="1"/>
    <row r="62" hidden="1"/>
    <row r="63" hidden="1"/>
    <row r="64" hidden="1"/>
    <row r="65" hidden="1"/>
    <row r="66" hidden="1"/>
    <row r="67" hidden="1"/>
    <row r="68" hidden="1"/>
    <row r="69" hidden="1"/>
    <row r="70" hidden="1"/>
    <row r="71" hidden="1"/>
    <row r="72" hidden="1"/>
    <row r="73" hidden="1"/>
    <row r="74" hidden="1"/>
    <row r="75" hidden="1"/>
    <row r="76" hidden="1"/>
    <row r="77" hidden="1"/>
    <row r="78" hidden="1"/>
    <row r="79" hidden="1"/>
    <row r="80" hidden="1"/>
    <row r="81" hidden="1"/>
    <row r="82" hidden="1"/>
    <row r="83" hidden="1"/>
    <row r="84" hidden="1"/>
    <row r="85" hidden="1"/>
    <row r="86" hidden="1"/>
    <row r="87" hidden="1"/>
    <row r="88" hidden="1"/>
    <row r="89" hidden="1"/>
    <row r="90" hidden="1"/>
    <row r="91" hidden="1"/>
    <row r="92" hidden="1"/>
    <row r="93" hidden="1"/>
    <row r="94" hidden="1"/>
    <row r="95" hidden="1"/>
    <row r="96" hidden="1"/>
    <row r="97" hidden="1"/>
    <row r="98" hidden="1"/>
    <row r="99" hidden="1"/>
    <row r="100" hidden="1"/>
    <row r="101" hidden="1"/>
    <row r="102" hidden="1"/>
    <row r="103" hidden="1"/>
    <row r="104" hidden="1"/>
    <row r="105" hidden="1"/>
    <row r="106" hidden="1"/>
    <row r="107" hidden="1"/>
    <row r="108" hidden="1"/>
    <row r="109" hidden="1"/>
    <row r="110" hidden="1"/>
    <row r="111" hidden="1"/>
    <row r="112" hidden="1"/>
    <row r="113" hidden="1"/>
    <row r="114" hidden="1"/>
    <row r="115" hidden="1"/>
    <row r="116" hidden="1"/>
    <row r="117" hidden="1"/>
    <row r="118" hidden="1"/>
    <row r="119" hidden="1"/>
    <row r="120" hidden="1"/>
    <row r="121" hidden="1"/>
    <row r="122" hidden="1"/>
    <row r="123" hidden="1"/>
    <row r="124" hidden="1"/>
    <row r="125" hidden="1"/>
    <row r="126" hidden="1"/>
    <row r="127" hidden="1"/>
    <row r="128" hidden="1"/>
    <row r="129" hidden="1"/>
    <row r="130" hidden="1"/>
    <row r="131" hidden="1"/>
    <row r="132" hidden="1"/>
    <row r="133" hidden="1"/>
    <row r="134" hidden="1"/>
    <row r="135" hidden="1"/>
    <row r="136" hidden="1"/>
    <row r="137" hidden="1"/>
    <row r="138" hidden="1"/>
    <row r="139" hidden="1"/>
    <row r="140" hidden="1"/>
    <row r="141" hidden="1"/>
    <row r="142" hidden="1"/>
    <row r="143" hidden="1"/>
    <row r="144" hidden="1"/>
    <row r="145" hidden="1"/>
    <row r="146" hidden="1"/>
    <row r="147" hidden="1"/>
    <row r="148" hidden="1"/>
    <row r="149" hidden="1"/>
    <row r="150" hidden="1"/>
    <row r="151" hidden="1"/>
    <row r="152" hidden="1"/>
    <row r="153" hidden="1"/>
    <row r="154" hidden="1"/>
    <row r="155" hidden="1"/>
    <row r="156" hidden="1"/>
    <row r="157" hidden="1"/>
    <row r="158" hidden="1"/>
    <row r="159" hidden="1"/>
    <row r="160" hidden="1"/>
    <row r="161" hidden="1"/>
    <row r="162" hidden="1"/>
    <row r="163" hidden="1"/>
    <row r="164" hidden="1"/>
    <row r="165" hidden="1"/>
    <row r="166" hidden="1"/>
    <row r="167" hidden="1"/>
    <row r="168" hidden="1"/>
    <row r="169" hidden="1"/>
    <row r="170" hidden="1"/>
    <row r="171" hidden="1"/>
    <row r="172" hidden="1"/>
    <row r="173" hidden="1"/>
    <row r="174" hidden="1"/>
    <row r="175" hidden="1"/>
    <row r="176" hidden="1"/>
    <row r="177" hidden="1"/>
    <row r="178" hidden="1"/>
    <row r="179" hidden="1"/>
    <row r="180" hidden="1"/>
    <row r="181" hidden="1"/>
    <row r="182" hidden="1"/>
    <row r="183" hidden="1"/>
    <row r="184" hidden="1"/>
    <row r="185" hidden="1"/>
    <row r="186" hidden="1"/>
    <row r="187" hidden="1"/>
    <row r="188" hidden="1"/>
    <row r="189" hidden="1"/>
    <row r="190" hidden="1"/>
    <row r="191" hidden="1"/>
    <row r="192" hidden="1"/>
    <row r="193" hidden="1"/>
    <row r="194" hidden="1"/>
    <row r="195" hidden="1"/>
    <row r="196" hidden="1"/>
    <row r="197" hidden="1"/>
    <row r="198" hidden="1"/>
    <row r="199" hidden="1"/>
    <row r="200" hidden="1"/>
    <row r="201" hidden="1"/>
    <row r="202" hidden="1"/>
    <row r="203" hidden="1"/>
    <row r="204" hidden="1"/>
    <row r="205" hidden="1"/>
    <row r="206" hidden="1"/>
    <row r="207" hidden="1"/>
    <row r="208" hidden="1"/>
    <row r="209" hidden="1"/>
    <row r="210" hidden="1"/>
    <row r="211" hidden="1"/>
    <row r="212" hidden="1"/>
    <row r="213" hidden="1"/>
    <row r="214" hidden="1"/>
    <row r="215" hidden="1"/>
    <row r="216" hidden="1"/>
    <row r="217" hidden="1"/>
    <row r="218" hidden="1"/>
    <row r="219" hidden="1"/>
    <row r="220" hidden="1"/>
    <row r="221" hidden="1"/>
    <row r="222" hidden="1"/>
    <row r="223" hidden="1"/>
    <row r="224" hidden="1"/>
    <row r="225" hidden="1"/>
    <row r="226" hidden="1"/>
    <row r="227" hidden="1"/>
    <row r="228" hidden="1"/>
    <row r="229" hidden="1"/>
    <row r="230" hidden="1"/>
    <row r="231" hidden="1"/>
    <row r="232" hidden="1"/>
    <row r="233" hidden="1"/>
    <row r="234" hidden="1"/>
    <row r="235" hidden="1"/>
    <row r="236" hidden="1"/>
    <row r="237" hidden="1"/>
    <row r="238" hidden="1"/>
    <row r="239" hidden="1"/>
    <row r="240" hidden="1"/>
    <row r="241" hidden="1"/>
    <row r="242" hidden="1"/>
    <row r="243" hidden="1"/>
    <row r="244" hidden="1"/>
    <row r="245" hidden="1"/>
    <row r="246" hidden="1"/>
    <row r="247" hidden="1"/>
    <row r="248" hidden="1"/>
    <row r="249" hidden="1"/>
    <row r="250" hidden="1"/>
    <row r="251" hidden="1"/>
    <row r="252" hidden="1"/>
    <row r="253" hidden="1"/>
    <row r="254" hidden="1"/>
    <row r="255" hidden="1"/>
    <row r="256" hidden="1"/>
    <row r="257" hidden="1"/>
    <row r="258" hidden="1"/>
    <row r="259" hidden="1"/>
    <row r="260" hidden="1"/>
    <row r="261" hidden="1"/>
    <row r="262" hidden="1"/>
    <row r="263" hidden="1"/>
    <row r="264" hidden="1"/>
    <row r="265" hidden="1"/>
    <row r="266" hidden="1"/>
    <row r="267" hidden="1"/>
    <row r="268" hidden="1"/>
    <row r="269" hidden="1"/>
    <row r="270" hidden="1"/>
    <row r="271" hidden="1"/>
    <row r="272" hidden="1"/>
    <row r="273" hidden="1"/>
    <row r="274" hidden="1"/>
    <row r="275" hidden="1"/>
    <row r="276" hidden="1"/>
    <row r="277" hidden="1"/>
    <row r="278" hidden="1"/>
    <row r="279" hidden="1"/>
    <row r="280" hidden="1"/>
    <row r="281" hidden="1"/>
    <row r="282" hidden="1"/>
    <row r="283" hidden="1"/>
    <row r="284" hidden="1"/>
    <row r="285" hidden="1"/>
    <row r="286" hidden="1"/>
    <row r="287" hidden="1"/>
    <row r="288" hidden="1"/>
    <row r="289" hidden="1"/>
    <row r="290" hidden="1"/>
    <row r="291" hidden="1"/>
    <row r="292" hidden="1"/>
    <row r="293" hidden="1"/>
    <row r="294" hidden="1"/>
    <row r="295" hidden="1"/>
    <row r="296" hidden="1"/>
    <row r="297" hidden="1"/>
    <row r="298" hidden="1"/>
    <row r="299" spans="1:6">
      <c r="A299" s="6"/>
      <c r="B299" s="6"/>
      <c r="C299" s="49" t="s">
        <v>368</v>
      </c>
      <c r="F299" s="50"/>
    </row>
    <row r="300" spans="1:6">
      <c r="A300" s="51">
        <v>1</v>
      </c>
      <c r="B300" s="52" t="str">
        <f>IFERROR(INDEX(B$1:B$95,MATCH(A300,A$1:A$95,0)),"")</f>
        <v>Henri Mitt, Tõnis Neiland</v>
      </c>
      <c r="C300" s="53">
        <f t="shared" ref="C300:C308" si="21">LARGE(A300:A400,1)*2+2-A300*2</f>
        <v>28</v>
      </c>
      <c r="F300" s="50"/>
    </row>
    <row r="301" spans="1:6">
      <c r="A301" s="51">
        <v>2</v>
      </c>
      <c r="B301" s="52" t="str">
        <f>IFERROR(INDEX(B$1:B$95,MATCH(A301,A$1:A$95,0)),"")</f>
        <v>Oleg Rõndenkov, Urmas Jõeäär</v>
      </c>
      <c r="C301" s="53">
        <f t="shared" si="21"/>
        <v>26</v>
      </c>
      <c r="F301" s="50"/>
    </row>
    <row r="302" spans="1:6">
      <c r="A302" s="51">
        <v>3</v>
      </c>
      <c r="B302" s="52" t="str">
        <f>IFERROR(INDEX(B$1:B$95,MATCH(A302,A$1:A$95,0)),"")</f>
        <v>Kenneth Muusikus, Olav Türk</v>
      </c>
      <c r="C302" s="53">
        <f t="shared" si="21"/>
        <v>24</v>
      </c>
      <c r="F302" s="50"/>
    </row>
    <row r="303" spans="1:6">
      <c r="A303" s="51">
        <v>4</v>
      </c>
      <c r="B303" s="52" t="str">
        <f>IFERROR(INDEX(B$1:B$95,MATCH(A303,A$1:A$95,0)),"")</f>
        <v>Meelis Luud, Sander Rose</v>
      </c>
      <c r="C303" s="53">
        <f t="shared" si="21"/>
        <v>22</v>
      </c>
      <c r="F303" s="50"/>
    </row>
    <row r="304" spans="1:6">
      <c r="A304" s="51">
        <v>5</v>
      </c>
      <c r="B304" s="52" t="str">
        <f>IFERROR(INDEX(B$1:B$95,MATCH(A304,A$1:A$95,0)),"")</f>
        <v>Liidia Põllu, Tõnu Kapper</v>
      </c>
      <c r="C304" s="53">
        <f t="shared" si="21"/>
        <v>20</v>
      </c>
      <c r="F304" s="50"/>
    </row>
    <row r="305" spans="1:6">
      <c r="A305" s="51">
        <v>6</v>
      </c>
      <c r="B305" s="52" t="str">
        <f>IFERROR(INDEX(B$1:B$95,MATCH(A305,A$1:A$95,0)),"")</f>
        <v>Jaan Sepp, Janek Tarto</v>
      </c>
      <c r="C305" s="53">
        <f t="shared" si="21"/>
        <v>18</v>
      </c>
      <c r="F305" s="50"/>
    </row>
    <row r="306" spans="1:6">
      <c r="A306" s="51">
        <v>7</v>
      </c>
      <c r="B306" s="52" t="str">
        <f>IFERROR(INDEX(B$1:B$95,MATCH(A306,A$1:A$95,0)),"")</f>
        <v>Kristel Tihhonjuk, Vadim Tihhonjuk</v>
      </c>
      <c r="C306" s="53">
        <f t="shared" si="21"/>
        <v>16</v>
      </c>
      <c r="F306" s="50"/>
    </row>
    <row r="307" spans="1:6">
      <c r="A307" s="51">
        <v>8</v>
      </c>
      <c r="B307" s="52" t="str">
        <f>IFERROR(INDEX(B$1:B$95,MATCH(A307,A$1:A$95,0)),"")</f>
        <v>Aigi Orro, Elmo Lageda</v>
      </c>
      <c r="C307" s="53">
        <f t="shared" si="21"/>
        <v>14</v>
      </c>
      <c r="F307" s="50"/>
    </row>
    <row r="308" spans="1:6">
      <c r="A308" s="51">
        <v>9</v>
      </c>
      <c r="B308" s="52" t="str">
        <f>IFERROR(INDEX(B$1:B$95,MATCH(A308,A$1:A$95,0)),"")</f>
        <v>Sander Aul, Väino Aul</v>
      </c>
      <c r="C308" s="53">
        <f t="shared" si="21"/>
        <v>12</v>
      </c>
      <c r="F308" s="50"/>
    </row>
    <row r="309" spans="1:3">
      <c r="A309" s="51">
        <v>10</v>
      </c>
      <c r="B309" s="52" t="str">
        <f>IFERROR(INDEX(B$1:B$95,MATCH(A309,A$1:A$95,0)),"")</f>
        <v>Ljudmila Varendi, Viktor Švarõgin</v>
      </c>
      <c r="C309" s="53">
        <f>LARGE(A309:A409,1)*2+2-A309*2</f>
        <v>10</v>
      </c>
    </row>
    <row r="310" spans="1:3">
      <c r="A310" s="51">
        <v>11</v>
      </c>
      <c r="B310" s="52" t="str">
        <f>IFERROR(INDEX(B$1:B$95,MATCH(A310,A$1:A$95,0)),"")</f>
        <v>Enn Tokman, Sirje Maala</v>
      </c>
      <c r="C310" s="53">
        <f>LARGE(A310:A410,1)*2+2-A310*2</f>
        <v>8</v>
      </c>
    </row>
    <row r="311" spans="1:3">
      <c r="A311" s="51">
        <v>12</v>
      </c>
      <c r="B311" s="52" t="str">
        <f>IFERROR(INDEX(B$1:B$95,MATCH(A311,A$1:A$95,0)),"")</f>
        <v>Marko Rooden, Martin Kuusmann</v>
      </c>
      <c r="C311" s="53">
        <f>LARGE(A311:A411,1)*2+2-A311*2</f>
        <v>6</v>
      </c>
    </row>
    <row r="312" spans="1:3">
      <c r="A312" s="51">
        <v>13</v>
      </c>
      <c r="B312" s="52" t="str">
        <f>IFERROR(INDEX(B$1:B$95,MATCH(A312,A$1:A$95,0)),"")</f>
        <v>Johannes Neiland, Urmas Randlaine</v>
      </c>
      <c r="C312" s="53">
        <f>LARGE(A312:A412,1)*2+2-A312*2</f>
        <v>4</v>
      </c>
    </row>
    <row r="313" spans="1:3">
      <c r="A313" s="51">
        <v>14</v>
      </c>
      <c r="B313" s="52" t="str">
        <f>IFERROR(INDEX(B$1:B$95,MATCH(A313,A$1:A$95,0)),"")</f>
        <v>Andres Veski, Melika Lehtla</v>
      </c>
      <c r="C313" s="53">
        <f>LARGE(A313:A413,1)*2+2-A313*2</f>
        <v>2</v>
      </c>
    </row>
  </sheetData>
  <conditionalFormatting sqref="A7:A20">
    <cfRule type="duplicateValues" dxfId="17" priority="33"/>
  </conditionalFormatting>
  <conditionalFormatting sqref="B300:B313">
    <cfRule type="duplicateValues" dxfId="8" priority="43"/>
    <cfRule type="containsBlanks" dxfId="19" priority="42">
      <formula>LEN(TRIM(B300))=0</formula>
    </cfRule>
    <cfRule type="expression" dxfId="18" priority="41">
      <formula>A300=1</formula>
    </cfRule>
    <cfRule type="expression" dxfId="4" priority="40">
      <formula>A300=2</formula>
    </cfRule>
    <cfRule type="expression" dxfId="3" priority="39">
      <formula>A300=3</formula>
    </cfRule>
  </conditionalFormatting>
  <conditionalFormatting sqref="C7:C20">
    <cfRule type="expression" dxfId="20" priority="15">
      <formula>IF($C7&gt;$E7,TRUE)</formula>
    </cfRule>
  </conditionalFormatting>
  <conditionalFormatting sqref="E7:E20">
    <cfRule type="expression" dxfId="20" priority="16">
      <formula>IF($C7&lt;$E7,TRUE)</formula>
    </cfRule>
  </conditionalFormatting>
  <conditionalFormatting sqref="F7:F20">
    <cfRule type="containsText" dxfId="21" priority="6" operator="between" text="vaba voor">
      <formula>NOT(ISERROR(SEARCH("vaba voor",F7)))</formula>
    </cfRule>
  </conditionalFormatting>
  <conditionalFormatting sqref="G7:G20">
    <cfRule type="expression" dxfId="20" priority="19">
      <formula>IF($G7&gt;$I7,TRUE)</formula>
    </cfRule>
  </conditionalFormatting>
  <conditionalFormatting sqref="I7:I20">
    <cfRule type="expression" dxfId="20" priority="20">
      <formula>IF($G7&lt;$I7,TRUE)</formula>
    </cfRule>
  </conditionalFormatting>
  <conditionalFormatting sqref="J7:J20">
    <cfRule type="containsText" dxfId="21" priority="5" operator="between" text="vaba voor">
      <formula>NOT(ISERROR(SEARCH("vaba voor",J7)))</formula>
    </cfRule>
  </conditionalFormatting>
  <conditionalFormatting sqref="K7:K20">
    <cfRule type="expression" dxfId="20" priority="23">
      <formula>IF($K7&gt;$M7,TRUE)</formula>
    </cfRule>
  </conditionalFormatting>
  <conditionalFormatting sqref="M7:M20">
    <cfRule type="expression" dxfId="20" priority="24">
      <formula>IF($K7&lt;$M7,TRUE)</formula>
    </cfRule>
  </conditionalFormatting>
  <conditionalFormatting sqref="N7:N20">
    <cfRule type="containsText" dxfId="21" priority="4" operator="between" text="vaba voor">
      <formula>NOT(ISERROR(SEARCH("vaba voor",N7)))</formula>
    </cfRule>
  </conditionalFormatting>
  <conditionalFormatting sqref="O7:O20">
    <cfRule type="expression" dxfId="20" priority="27">
      <formula>IF($O7&gt;$Q7,TRUE)</formula>
    </cfRule>
  </conditionalFormatting>
  <conditionalFormatting sqref="Q7:Q20">
    <cfRule type="expression" dxfId="20" priority="28">
      <formula>IF($O7&lt;$Q7,TRUE)</formula>
    </cfRule>
  </conditionalFormatting>
  <conditionalFormatting sqref="R7:R20">
    <cfRule type="containsText" dxfId="21" priority="7" operator="between" text="vaba voor">
      <formula>NOT(ISERROR(SEARCH("vaba voor",R7)))</formula>
    </cfRule>
  </conditionalFormatting>
  <conditionalFormatting sqref="S7:S20">
    <cfRule type="expression" dxfId="20" priority="31">
      <formula>IF($S7&gt;$U7,TRUE)</formula>
    </cfRule>
  </conditionalFormatting>
  <conditionalFormatting sqref="U7:U20">
    <cfRule type="expression" dxfId="20" priority="32">
      <formula>IF($S7&lt;$U7,TRUE)</formula>
    </cfRule>
  </conditionalFormatting>
  <conditionalFormatting sqref="V7:V20">
    <cfRule type="containsText" dxfId="21" priority="3" operator="between" text="vaba voor">
      <formula>NOT(ISERROR(SEARCH("vaba voor",V7)))</formula>
    </cfRule>
  </conditionalFormatting>
  <conditionalFormatting sqref="AF7:AF20">
    <cfRule type="expression" dxfId="22" priority="37">
      <formula>AND(AE7="",COUNTIF(AF7,"*,*")=0)</formula>
    </cfRule>
  </conditionalFormatting>
  <conditionalFormatting sqref="C7:F20">
    <cfRule type="expression" dxfId="23" priority="14">
      <formula>IF($C7&lt;$E7,TRUE)</formula>
    </cfRule>
    <cfRule type="expression" dxfId="7" priority="13">
      <formula>IF($C7&gt;$E7,TRUE)</formula>
    </cfRule>
    <cfRule type="expression" dxfId="5" priority="11">
      <formula>IF(AND(ISNUMBER($C7),$C7=$E7),TRUE)</formula>
    </cfRule>
  </conditionalFormatting>
  <conditionalFormatting sqref="C7:C20;G7:G20;K7:K20;O7:O20;S7:S20">
    <cfRule type="expression" dxfId="24" priority="1">
      <formula>AND(C7=0,E7=13)</formula>
    </cfRule>
  </conditionalFormatting>
  <conditionalFormatting sqref="E7:E20;I7:I20;M7:M20;Q7:Q20;U7:U20">
    <cfRule type="expression" dxfId="24" priority="2">
      <formula>AND(E7=0,C7=13)</formula>
    </cfRule>
  </conditionalFormatting>
  <conditionalFormatting sqref="G7:J20">
    <cfRule type="expression" dxfId="23" priority="18">
      <formula>IF($G7&lt;$I7,TRUE)</formula>
    </cfRule>
    <cfRule type="expression" dxfId="7" priority="17">
      <formula>IF($G7&gt;$I7,TRUE)</formula>
    </cfRule>
    <cfRule type="expression" dxfId="5" priority="12">
      <formula>IF(AND(ISNUMBER($G7),$G7=$I7),TRUE)</formula>
    </cfRule>
  </conditionalFormatting>
  <conditionalFormatting sqref="K7:N20">
    <cfRule type="expression" dxfId="23" priority="22">
      <formula>IF($K7&lt;$M7,TRUE)</formula>
    </cfRule>
    <cfRule type="expression" dxfId="7" priority="21">
      <formula>IF($K7&gt;$M7,TRUE)</formula>
    </cfRule>
    <cfRule type="expression" dxfId="5" priority="10">
      <formula>IF(AND(ISNUMBER($K7),$K7=$M7),TRUE)</formula>
    </cfRule>
  </conditionalFormatting>
  <conditionalFormatting sqref="O7:R20">
    <cfRule type="expression" dxfId="23" priority="26">
      <formula>IF($O7&lt;$Q7,TRUE)</formula>
    </cfRule>
    <cfRule type="expression" dxfId="7" priority="25">
      <formula>IF($O7&gt;$Q7,TRUE)</formula>
    </cfRule>
    <cfRule type="expression" dxfId="5" priority="9">
      <formula>IF(AND(ISNUMBER($O7),$O7=$Q7),TRUE)</formula>
    </cfRule>
  </conditionalFormatting>
  <conditionalFormatting sqref="S7:V20">
    <cfRule type="expression" dxfId="23" priority="30">
      <formula>IF($S7&lt;$U7,TRUE)</formula>
    </cfRule>
    <cfRule type="expression" dxfId="7" priority="29">
      <formula>IF($S7&gt;$U7,TRUE)</formula>
    </cfRule>
    <cfRule type="expression" dxfId="5" priority="8">
      <formula>IF(AND(ISNUMBER($S7),$S7=$U7),TRUE)</formula>
    </cfRule>
  </conditionalFormatting>
  <conditionalFormatting sqref="AJ7:AJ20;AH7:AH20;AL7:AL20">
    <cfRule type="expression" dxfId="22" priority="38">
      <formula>AND(AG7="",COUNTIF(AH7,"*,*")=0)</formula>
    </cfRule>
    <cfRule type="expression" dxfId="25" priority="36">
      <formula>AND(AG7="",FIND(",",AH7))</formula>
    </cfRule>
  </conditionalFormatting>
  <conditionalFormatting sqref="AN7:AN20;AP7:AP20">
    <cfRule type="expression" dxfId="25" priority="35">
      <formula>AND(AM7="",FIND(",",AN7))</formula>
    </cfRule>
    <cfRule type="expression" dxfId="22" priority="34">
      <formula>AND(AM7="",COUNTIF(AN7,"*,*")=0)</formula>
    </cfRule>
  </conditionalFormatting>
  <pageMargins left="0.393700787401575" right="0.393700787401575" top="0.78740157480315" bottom="0.393700787401575" header="0.78740157480315" footer="0"/>
  <pageSetup paperSize="9" fitToHeight="0" orientation="landscape" verticalDpi="1200"/>
  <headerFooter>
    <oddHeader>&amp;R&amp;P. leht &amp;N&amp; -st</oddHeader>
  </headerFooter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CCFFCC"/>
    <pageSetUpPr fitToPage="1"/>
  </sheetPr>
  <dimension ref="A1:AP313"/>
  <sheetViews>
    <sheetView showGridLines="0" showRowColHeaders="0" workbookViewId="0">
      <pane ySplit="1" topLeftCell="A2" activePane="bottomLeft" state="frozen"/>
      <selection/>
      <selection pane="bottomLeft" activeCell="A5" sqref="A5"/>
    </sheetView>
  </sheetViews>
  <sheetFormatPr defaultColWidth="9" defaultRowHeight="12.3"/>
  <cols>
    <col min="1" max="1" width="3.28828828828829" style="3" customWidth="1"/>
    <col min="2" max="2" width="31.4774774774775" style="3" customWidth="1"/>
    <col min="3" max="3" width="4.71171171171171" style="3" customWidth="1"/>
    <col min="4" max="4" width="1.14414414414414" style="3" customWidth="1"/>
    <col min="5" max="5" width="2.71171171171171" style="3" customWidth="1"/>
    <col min="6" max="6" width="9.14414414414414" style="3"/>
    <col min="7" max="7" width="2.71171171171171" style="3" customWidth="1"/>
    <col min="8" max="8" width="1.14414414414414" style="3" customWidth="1"/>
    <col min="9" max="9" width="2.71171171171171" style="3" customWidth="1"/>
    <col min="10" max="10" width="9.14414414414414" style="3"/>
    <col min="11" max="11" width="2.71171171171171" style="3" customWidth="1"/>
    <col min="12" max="12" width="1.14414414414414" style="3" customWidth="1"/>
    <col min="13" max="13" width="2.71171171171171" style="3" customWidth="1"/>
    <col min="14" max="14" width="9.14414414414414" style="3"/>
    <col min="15" max="15" width="2.71171171171171" style="3" customWidth="1"/>
    <col min="16" max="16" width="1.14414414414414" style="3" customWidth="1"/>
    <col min="17" max="17" width="2.71171171171171" style="3" customWidth="1"/>
    <col min="18" max="18" width="9.14414414414414" style="3"/>
    <col min="19" max="19" width="2.71171171171171" style="3" hidden="1" customWidth="1"/>
    <col min="20" max="20" width="1.14414414414414" style="3" hidden="1" customWidth="1"/>
    <col min="21" max="21" width="2.71171171171171" style="3" hidden="1" customWidth="1"/>
    <col min="22" max="22" width="9" style="3" hidden="1" customWidth="1"/>
    <col min="23" max="23" width="5.71171171171171" style="3" customWidth="1"/>
    <col min="24" max="24" width="5.56756756756757" style="3" customWidth="1"/>
    <col min="25" max="25" width="7.42342342342342" style="3" hidden="1" customWidth="1"/>
    <col min="26" max="26" width="2.71171171171171" style="3" customWidth="1"/>
    <col min="27" max="27" width="1.14414414414414" style="3" customWidth="1"/>
    <col min="28" max="28" width="2.71171171171171" style="3" customWidth="1"/>
    <col min="29" max="29" width="4.71171171171171" style="3" customWidth="1"/>
    <col min="30" max="31" width="9.14414414414414" style="3" hidden="1" customWidth="1"/>
    <col min="32" max="32" width="16.7027027027027" style="3" hidden="1" customWidth="1"/>
    <col min="33" max="33" width="9.14414414414414" style="3" hidden="1" customWidth="1"/>
    <col min="34" max="34" width="15.6126126126126" style="3" hidden="1" customWidth="1"/>
    <col min="35" max="35" width="9.14414414414414" style="3" hidden="1" customWidth="1"/>
    <col min="36" max="36" width="17.2882882882883" style="3" hidden="1" customWidth="1"/>
    <col min="37" max="37" width="9.14414414414414" style="3" hidden="1" customWidth="1"/>
    <col min="38" max="38" width="13.8558558558559" style="3" hidden="1" customWidth="1"/>
    <col min="39" max="39" width="9.14414414414414" style="3" hidden="1" customWidth="1"/>
    <col min="40" max="40" width="17.2882882882883" style="3" hidden="1" customWidth="1"/>
    <col min="41" max="41" width="9.14414414414414" style="3" hidden="1" customWidth="1"/>
    <col min="42" max="42" width="13.8558558558559" style="3" hidden="1" customWidth="1"/>
    <col min="43" max="16384" width="9.14414414414414" style="3"/>
  </cols>
  <sheetData>
    <row r="1" spans="1:42">
      <c r="A1" s="4" t="str">
        <f>UPPER((Kalend!E20)&amp;" - "&amp;(Kalend!C20))&amp;" - "&amp;LOWER(Kalend!D20)&amp;" - "&amp;(Kalend!A20)&amp;" kell "&amp;(Kalend!B20)&amp;" - "&amp;(Kalend!F20)</f>
        <v>V7 - VOKA XI KV 7. ETAPP - duo - T, 23.07.2024 kell 18:00 - Voka staadion</v>
      </c>
      <c r="O1" s="6"/>
      <c r="P1" s="6"/>
      <c r="Q1" s="20"/>
      <c r="R1" s="20"/>
      <c r="S1" s="20"/>
      <c r="T1" s="21"/>
      <c r="U1" s="21"/>
      <c r="V1" s="21"/>
      <c r="W1" s="6"/>
      <c r="X1" s="22"/>
      <c r="Y1" s="6"/>
      <c r="Z1" s="6"/>
      <c r="AD1" s="30" t="s">
        <v>149</v>
      </c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47"/>
      <c r="AP1" s="47"/>
    </row>
    <row r="2" spans="1:40">
      <c r="A2" s="5"/>
      <c r="F2" s="6"/>
      <c r="L2" s="19"/>
      <c r="M2" s="19"/>
      <c r="N2" s="19"/>
      <c r="O2" s="6"/>
      <c r="P2" s="6"/>
      <c r="Q2" s="6"/>
      <c r="R2" s="23" t="s">
        <v>322</v>
      </c>
      <c r="S2" s="6"/>
      <c r="T2" s="19"/>
      <c r="U2" s="19"/>
      <c r="V2" s="19"/>
      <c r="W2" s="24">
        <v>1</v>
      </c>
      <c r="X2" s="6" t="s">
        <v>323</v>
      </c>
      <c r="Y2" s="6"/>
      <c r="Z2" s="6"/>
      <c r="AA2" s="6"/>
      <c r="AB2" s="6"/>
      <c r="AE2" s="6"/>
      <c r="AG2" s="6"/>
      <c r="AH2" s="6"/>
      <c r="AI2" s="6"/>
      <c r="AJ2" s="6"/>
      <c r="AK2" s="6"/>
      <c r="AL2" s="6"/>
      <c r="AM2" s="6"/>
      <c r="AN2" s="6"/>
    </row>
    <row r="3" spans="1:42">
      <c r="A3" s="5"/>
      <c r="F3" s="6"/>
      <c r="L3" s="6"/>
      <c r="M3" s="6"/>
      <c r="N3" s="6"/>
      <c r="O3" s="6"/>
      <c r="P3" s="6"/>
      <c r="Q3" s="6"/>
      <c r="R3" s="25" t="s">
        <v>324</v>
      </c>
      <c r="S3" s="6"/>
      <c r="T3" s="6"/>
      <c r="U3" s="6"/>
      <c r="V3" s="6"/>
      <c r="W3" s="24">
        <v>0.5</v>
      </c>
      <c r="X3" s="6" t="s">
        <v>325</v>
      </c>
      <c r="Y3" s="6"/>
      <c r="Z3" s="6"/>
      <c r="AA3" s="6"/>
      <c r="AB3" s="6"/>
      <c r="AE3" s="19"/>
      <c r="AF3" s="19"/>
      <c r="AG3" s="19"/>
      <c r="AH3" s="44"/>
      <c r="AI3" s="19"/>
      <c r="AJ3" s="19"/>
      <c r="AK3" s="19"/>
      <c r="AL3" s="19"/>
      <c r="AM3" s="19"/>
      <c r="AN3" s="19"/>
      <c r="AO3" s="19"/>
      <c r="AP3" s="19"/>
    </row>
    <row r="4" spans="6:28">
      <c r="F4" s="6"/>
      <c r="L4" s="6"/>
      <c r="M4" s="6"/>
      <c r="N4" s="6"/>
      <c r="O4" s="6"/>
      <c r="P4" s="6"/>
      <c r="Q4" s="6"/>
      <c r="R4" s="26" t="s">
        <v>326</v>
      </c>
      <c r="S4" s="6"/>
      <c r="T4" s="6"/>
      <c r="U4" s="6"/>
      <c r="V4" s="6"/>
      <c r="W4" s="24">
        <v>0</v>
      </c>
      <c r="X4" s="6" t="s">
        <v>325</v>
      </c>
      <c r="Y4" s="6"/>
      <c r="Z4" s="6"/>
      <c r="AA4" s="6"/>
      <c r="AB4" s="6"/>
    </row>
    <row r="5" spans="6:30">
      <c r="F5" s="6"/>
      <c r="L5" s="6"/>
      <c r="M5" s="6"/>
      <c r="N5" s="6"/>
      <c r="O5" s="6"/>
      <c r="P5" s="6"/>
      <c r="Q5" s="6"/>
      <c r="R5" s="6"/>
      <c r="S5" s="6"/>
      <c r="T5" s="6"/>
      <c r="U5" s="6"/>
      <c r="W5" s="6"/>
      <c r="X5" s="6"/>
      <c r="Y5" s="6"/>
      <c r="Z5" s="6"/>
      <c r="AA5" s="6"/>
      <c r="AB5" s="32" t="s">
        <v>327</v>
      </c>
      <c r="AD5" s="33" t="s">
        <v>328</v>
      </c>
    </row>
    <row r="6" spans="1:42">
      <c r="A6" s="7" t="s">
        <v>329</v>
      </c>
      <c r="B6" s="7" t="s">
        <v>180</v>
      </c>
      <c r="C6" s="8" t="s">
        <v>330</v>
      </c>
      <c r="D6" s="9"/>
      <c r="E6" s="9"/>
      <c r="F6" s="10"/>
      <c r="G6" s="8" t="s">
        <v>331</v>
      </c>
      <c r="H6" s="9"/>
      <c r="I6" s="9"/>
      <c r="J6" s="10"/>
      <c r="K6" s="8" t="s">
        <v>332</v>
      </c>
      <c r="L6" s="9"/>
      <c r="M6" s="9"/>
      <c r="N6" s="10"/>
      <c r="O6" s="8" t="s">
        <v>333</v>
      </c>
      <c r="P6" s="9"/>
      <c r="Q6" s="9"/>
      <c r="R6" s="10"/>
      <c r="S6" s="8" t="s">
        <v>334</v>
      </c>
      <c r="T6" s="9"/>
      <c r="U6" s="9"/>
      <c r="V6" s="10"/>
      <c r="W6" s="7" t="s">
        <v>162</v>
      </c>
      <c r="X6" s="27" t="s">
        <v>335</v>
      </c>
      <c r="Y6" s="7" t="s">
        <v>336</v>
      </c>
      <c r="Z6" s="27"/>
      <c r="AA6" s="34" t="s">
        <v>337</v>
      </c>
      <c r="AB6" s="35"/>
      <c r="AC6" s="36" t="s">
        <v>338</v>
      </c>
      <c r="AD6" s="37" t="s">
        <v>168</v>
      </c>
      <c r="AE6" s="38"/>
      <c r="AF6" s="38" t="s">
        <v>339</v>
      </c>
      <c r="AG6" s="38"/>
      <c r="AH6" s="45" t="s">
        <v>340</v>
      </c>
      <c r="AI6" s="38"/>
      <c r="AJ6" s="38" t="s">
        <v>341</v>
      </c>
      <c r="AK6" s="46"/>
      <c r="AL6" s="38" t="s">
        <v>342</v>
      </c>
      <c r="AM6" s="46"/>
      <c r="AN6" s="46" t="s">
        <v>343</v>
      </c>
      <c r="AO6" s="48"/>
      <c r="AP6" s="46" t="s">
        <v>344</v>
      </c>
    </row>
    <row r="7" spans="1:42">
      <c r="A7" s="11">
        <v>1</v>
      </c>
      <c r="B7" s="12" t="s">
        <v>431</v>
      </c>
      <c r="C7" s="13">
        <v>13</v>
      </c>
      <c r="D7" s="14" t="s">
        <v>346</v>
      </c>
      <c r="E7" s="14">
        <v>8</v>
      </c>
      <c r="F7" s="15" t="s">
        <v>351</v>
      </c>
      <c r="G7" s="13">
        <v>13</v>
      </c>
      <c r="H7" s="14" t="s">
        <v>346</v>
      </c>
      <c r="I7" s="14">
        <v>1</v>
      </c>
      <c r="J7" s="15" t="s">
        <v>356</v>
      </c>
      <c r="K7" s="13">
        <v>11</v>
      </c>
      <c r="L7" s="14" t="s">
        <v>346</v>
      </c>
      <c r="M7" s="14">
        <v>10</v>
      </c>
      <c r="N7" s="15" t="s">
        <v>349</v>
      </c>
      <c r="O7" s="13">
        <v>13</v>
      </c>
      <c r="P7" s="14" t="s">
        <v>346</v>
      </c>
      <c r="Q7" s="14">
        <v>1</v>
      </c>
      <c r="R7" s="15" t="s">
        <v>360</v>
      </c>
      <c r="S7" s="13"/>
      <c r="T7" s="14"/>
      <c r="U7" s="14"/>
      <c r="V7" s="15"/>
      <c r="W7" s="28">
        <f>IF(C7&gt;E7,W$2,IF(C7&lt;E7,W$4,IF(ISNUMBER(C7),W$3,0)))+IF(G7&gt;I7,W$2,IF(G7&lt;I7,W$4,IF(ISNUMBER(G7),W$3,0)))+IF(K7&gt;M7,W$2,IF(K7&lt;M7,W$4,IF(ISNUMBER(K7),W$3,0)))+IF(O7&gt;Q7,W$2,IF(O7&lt;Q7,W$4,IF(ISNUMBER(O7),W$3,0)))+IF(S7&gt;U7,W$2,IF(S7&lt;U7,W$4,IF(ISNUMBER(S7),W$3,0)))</f>
        <v>4</v>
      </c>
      <c r="X7" s="29">
        <v>14</v>
      </c>
      <c r="Y7" s="29"/>
      <c r="Z7" s="13">
        <f t="shared" ref="Z7:Z15" si="0">C7+G7+K7+O7+S7</f>
        <v>50</v>
      </c>
      <c r="AA7" s="14" t="s">
        <v>346</v>
      </c>
      <c r="AB7" s="39">
        <f t="shared" ref="AB7:AB15" si="1">E7+I7+M7+Q7+U7</f>
        <v>20</v>
      </c>
      <c r="AC7" s="40">
        <f t="shared" ref="AC7:AC15" si="2">Z7-AB7</f>
        <v>30</v>
      </c>
      <c r="AD7" s="41">
        <f t="shared" ref="AD7:AD15" si="3">SUM(AE7:AL7)</f>
        <v>326</v>
      </c>
      <c r="AE7" s="42">
        <f>IFERROR(INDEX(V!$R:$R,MATCH(AF7,V!$L:$L,0)),"")</f>
        <v>150</v>
      </c>
      <c r="AF7" s="43" t="str">
        <f t="shared" ref="AF7:AF15" si="4">IFERROR(LEFT($B7,(FIND(",",$B7,1)-1)),"")</f>
        <v>Henri Mitt</v>
      </c>
      <c r="AG7" s="42">
        <f>IFERROR(INDEX(V!$R:$R,MATCH(AH7,V!$L:$L,0)),"")</f>
        <v>176</v>
      </c>
      <c r="AH7" s="43" t="str">
        <f t="shared" ref="AH7:AH15" si="5">IFERROR(MID($B7,FIND(", ",$B7)+2,256),"")</f>
        <v>Vadim Tihhonjuk</v>
      </c>
      <c r="AI7" s="42" t="str">
        <f>IFERROR(INDEX(V!$R:$R,MATCH(AJ7,V!$L:$L,0)),"")</f>
        <v/>
      </c>
      <c r="AJ7" s="43" t="str">
        <f t="shared" ref="AJ7:AJ15" si="6">IFERROR(MID($B7,FIND("^",SUBSTITUTE($B7,", ","^",1))+2,FIND("^",SUBSTITUTE($B7,", ","^",2))-FIND("^",SUBSTITUTE($B7,", ","^",1))-2),"")</f>
        <v/>
      </c>
      <c r="AK7" s="42" t="str">
        <f>IFERROR(INDEX(V!$R:$R,MATCH(AL7,V!$L:$L,0)),"")</f>
        <v/>
      </c>
      <c r="AL7" s="43" t="str">
        <f t="shared" ref="AL7:AL15" si="7">IFERROR(MID($B7,FIND(", ",$B7,FIND(", ",$B7,FIND(", ",$B7))+1)+2,30000),"")</f>
        <v/>
      </c>
      <c r="AM7" s="42" t="str">
        <f>IFERROR(INDEX(V!$R:$R,MATCH(AN7,V!$L:$L,0)),"")</f>
        <v/>
      </c>
      <c r="AN7" s="43" t="str">
        <f t="shared" ref="AN7:AN15" si="8">IFERROR(MID($B7,FIND(", ",$B7,FIND(", ",$B7)+1)+2,FIND(", ",$B7,FIND(", ",$B7,FIND(", ",$B7)+1)+1)-FIND(", ",$B7,FIND(", ",$B7)+1)-2),"")</f>
        <v/>
      </c>
      <c r="AO7" s="42" t="str">
        <f>IFERROR(INDEX(V!$R:$R,MATCH(AP7,V!$L:$L,0)),"")</f>
        <v/>
      </c>
      <c r="AP7" s="43" t="str">
        <f t="shared" ref="AP7:AP15" si="9">IFERROR(MID($B7,FIND(", ",$B7,FIND(", ",$B7,FIND(", ",$B7)+1)+1)+2,30000),"")</f>
        <v/>
      </c>
    </row>
    <row r="8" spans="1:42">
      <c r="A8" s="11">
        <v>2</v>
      </c>
      <c r="B8" s="16" t="s">
        <v>360</v>
      </c>
      <c r="C8" s="13">
        <v>13</v>
      </c>
      <c r="D8" s="14" t="s">
        <v>346</v>
      </c>
      <c r="E8" s="14">
        <v>1</v>
      </c>
      <c r="F8" s="15" t="s">
        <v>347</v>
      </c>
      <c r="G8" s="13">
        <v>10</v>
      </c>
      <c r="H8" s="14" t="s">
        <v>346</v>
      </c>
      <c r="I8" s="14">
        <v>9</v>
      </c>
      <c r="J8" s="15" t="s">
        <v>432</v>
      </c>
      <c r="K8" s="13">
        <v>10</v>
      </c>
      <c r="L8" s="14" t="s">
        <v>346</v>
      </c>
      <c r="M8" s="14">
        <v>9</v>
      </c>
      <c r="N8" s="15" t="s">
        <v>433</v>
      </c>
      <c r="O8" s="13">
        <v>1</v>
      </c>
      <c r="P8" s="14" t="s">
        <v>346</v>
      </c>
      <c r="Q8" s="14">
        <v>13</v>
      </c>
      <c r="R8" s="15" t="s">
        <v>431</v>
      </c>
      <c r="S8" s="13"/>
      <c r="T8" s="14"/>
      <c r="U8" s="14"/>
      <c r="V8" s="15"/>
      <c r="W8" s="28">
        <f>IF(C8&gt;E8,W$2,IF(C8&lt;E8,W$4,IF(ISNUMBER(C8),W$3,0)))+IF(G8&gt;I8,W$2,IF(G8&lt;I8,W$4,IF(ISNUMBER(G8),W$3,0)))+IF(K8&gt;M8,W$2,IF(K8&lt;M8,W$4,IF(ISNUMBER(K8),W$3,0)))+IF(O8&gt;Q8,W$2,IF(O8&lt;Q8,W$4,IF(ISNUMBER(O8),W$3,0)))+IF(S8&gt;U8,W$2,IF(S8&lt;U8,W$4,IF(ISNUMBER(S8),W$3,0)))</f>
        <v>3</v>
      </c>
      <c r="X8" s="29">
        <v>20</v>
      </c>
      <c r="Y8" s="29"/>
      <c r="Z8" s="13">
        <f t="shared" si="0"/>
        <v>34</v>
      </c>
      <c r="AA8" s="14" t="s">
        <v>346</v>
      </c>
      <c r="AB8" s="39">
        <f t="shared" si="1"/>
        <v>32</v>
      </c>
      <c r="AC8" s="40">
        <f t="shared" si="2"/>
        <v>2</v>
      </c>
      <c r="AD8" s="41">
        <f t="shared" si="3"/>
        <v>292</v>
      </c>
      <c r="AE8" s="42">
        <f>IFERROR(INDEX(V!$R:$R,MATCH(AF8,V!$L:$L,0)),"")</f>
        <v>146</v>
      </c>
      <c r="AF8" s="43" t="str">
        <f t="shared" si="4"/>
        <v>Meelis Luud</v>
      </c>
      <c r="AG8" s="42">
        <f>IFERROR(INDEX(V!$R:$R,MATCH(AH8,V!$L:$L,0)),"")</f>
        <v>146</v>
      </c>
      <c r="AH8" s="43" t="str">
        <f t="shared" si="5"/>
        <v>Sander Rose</v>
      </c>
      <c r="AI8" s="42" t="str">
        <f>IFERROR(INDEX(V!$R:$R,MATCH(AJ8,V!$L:$L,0)),"")</f>
        <v/>
      </c>
      <c r="AJ8" s="43" t="str">
        <f t="shared" si="6"/>
        <v/>
      </c>
      <c r="AK8" s="42" t="str">
        <f>IFERROR(INDEX(V!$R:$R,MATCH(AL8,V!$L:$L,0)),"")</f>
        <v/>
      </c>
      <c r="AL8" s="43" t="str">
        <f t="shared" si="7"/>
        <v/>
      </c>
      <c r="AM8" s="42" t="str">
        <f>IFERROR(INDEX(V!$R:$R,MATCH(AN8,V!$L:$L,0)),"")</f>
        <v/>
      </c>
      <c r="AN8" s="43" t="str">
        <f t="shared" si="8"/>
        <v/>
      </c>
      <c r="AO8" s="42" t="str">
        <f>IFERROR(INDEX(V!$R:$R,MATCH(AP8,V!$L:$L,0)),"")</f>
        <v/>
      </c>
      <c r="AP8" s="43" t="str">
        <f t="shared" si="9"/>
        <v/>
      </c>
    </row>
    <row r="9" spans="1:42">
      <c r="A9" s="11">
        <v>3</v>
      </c>
      <c r="B9" s="17" t="s">
        <v>433</v>
      </c>
      <c r="C9" s="13">
        <v>13</v>
      </c>
      <c r="D9" s="14" t="s">
        <v>346</v>
      </c>
      <c r="E9" s="14">
        <v>11</v>
      </c>
      <c r="F9" s="15" t="s">
        <v>434</v>
      </c>
      <c r="G9" s="13">
        <v>11</v>
      </c>
      <c r="H9" s="14" t="s">
        <v>346</v>
      </c>
      <c r="I9" s="14">
        <v>8</v>
      </c>
      <c r="J9" s="15" t="s">
        <v>426</v>
      </c>
      <c r="K9" s="13">
        <v>9</v>
      </c>
      <c r="L9" s="14" t="s">
        <v>346</v>
      </c>
      <c r="M9" s="14">
        <v>10</v>
      </c>
      <c r="N9" s="15" t="s">
        <v>360</v>
      </c>
      <c r="O9" s="13">
        <v>13</v>
      </c>
      <c r="P9" s="14" t="s">
        <v>346</v>
      </c>
      <c r="Q9" s="14">
        <v>9</v>
      </c>
      <c r="R9" s="15" t="s">
        <v>349</v>
      </c>
      <c r="S9" s="13"/>
      <c r="T9" s="14"/>
      <c r="U9" s="14"/>
      <c r="V9" s="15"/>
      <c r="W9" s="28">
        <f>IF(C9&gt;E9,W$2,IF(C9&lt;E9,W$4,IF(ISNUMBER(C9),W$3,0)))+IF(G9&gt;I9,W$2,IF(G9&lt;I9,W$4,IF(ISNUMBER(G9),W$3,0)))+IF(K9&gt;M9,W$2,IF(K9&lt;M9,W$4,IF(ISNUMBER(K9),W$3,0)))+IF(O9&gt;Q9,W$2,IF(O9&lt;Q9,W$4,IF(ISNUMBER(O9),W$3,0)))+IF(S9&gt;U9,W$2,IF(S9&lt;U9,W$4,IF(ISNUMBER(S9),W$3,0)))</f>
        <v>3</v>
      </c>
      <c r="X9" s="29">
        <v>18</v>
      </c>
      <c r="Y9" s="29"/>
      <c r="Z9" s="13">
        <f t="shared" si="0"/>
        <v>46</v>
      </c>
      <c r="AA9" s="14" t="s">
        <v>346</v>
      </c>
      <c r="AB9" s="39">
        <f t="shared" si="1"/>
        <v>38</v>
      </c>
      <c r="AC9" s="40">
        <f t="shared" si="2"/>
        <v>8</v>
      </c>
      <c r="AD9" s="41">
        <f t="shared" si="3"/>
        <v>242</v>
      </c>
      <c r="AE9" s="42">
        <f>IFERROR(INDEX(V!$R:$R,MATCH(AF9,V!$L:$L,0)),"")</f>
        <v>144</v>
      </c>
      <c r="AF9" s="43" t="str">
        <f t="shared" si="4"/>
        <v>Oleg Rõndenkov</v>
      </c>
      <c r="AG9" s="42">
        <f>IFERROR(INDEX(V!$R:$R,MATCH(AH9,V!$L:$L,0)),"")</f>
        <v>98</v>
      </c>
      <c r="AH9" s="43" t="str">
        <f t="shared" si="5"/>
        <v>Sirje Maala</v>
      </c>
      <c r="AI9" s="42" t="str">
        <f>IFERROR(INDEX(V!$R:$R,MATCH(AJ9,V!$L:$L,0)),"")</f>
        <v/>
      </c>
      <c r="AJ9" s="43" t="str">
        <f t="shared" si="6"/>
        <v/>
      </c>
      <c r="AK9" s="42" t="str">
        <f>IFERROR(INDEX(V!$R:$R,MATCH(AL9,V!$L:$L,0)),"")</f>
        <v/>
      </c>
      <c r="AL9" s="43" t="str">
        <f t="shared" si="7"/>
        <v/>
      </c>
      <c r="AM9" s="42" t="str">
        <f>IFERROR(INDEX(V!$R:$R,MATCH(AN9,V!$L:$L,0)),"")</f>
        <v/>
      </c>
      <c r="AN9" s="43" t="str">
        <f t="shared" si="8"/>
        <v/>
      </c>
      <c r="AO9" s="42" t="str">
        <f>IFERROR(INDEX(V!$R:$R,MATCH(AP9,V!$L:$L,0)),"")</f>
        <v/>
      </c>
      <c r="AP9" s="43" t="str">
        <f t="shared" si="9"/>
        <v/>
      </c>
    </row>
    <row r="10" spans="1:42">
      <c r="A10" s="11">
        <v>4</v>
      </c>
      <c r="B10" s="17" t="s">
        <v>432</v>
      </c>
      <c r="C10" s="13">
        <v>13</v>
      </c>
      <c r="D10" s="14" t="s">
        <v>346</v>
      </c>
      <c r="E10" s="14">
        <v>2</v>
      </c>
      <c r="F10" s="15" t="s">
        <v>435</v>
      </c>
      <c r="G10" s="13">
        <v>9</v>
      </c>
      <c r="H10" s="14" t="s">
        <v>346</v>
      </c>
      <c r="I10" s="14">
        <v>10</v>
      </c>
      <c r="J10" s="15" t="s">
        <v>360</v>
      </c>
      <c r="K10" s="13">
        <v>13</v>
      </c>
      <c r="L10" s="14" t="s">
        <v>346</v>
      </c>
      <c r="M10" s="14">
        <v>9</v>
      </c>
      <c r="N10" s="15" t="s">
        <v>436</v>
      </c>
      <c r="O10" s="13">
        <v>13</v>
      </c>
      <c r="P10" s="14" t="s">
        <v>346</v>
      </c>
      <c r="Q10" s="14">
        <v>1</v>
      </c>
      <c r="R10" s="15" t="s">
        <v>434</v>
      </c>
      <c r="S10" s="13"/>
      <c r="T10" s="14"/>
      <c r="U10" s="14"/>
      <c r="V10" s="15"/>
      <c r="W10" s="28">
        <f>IF(C10&gt;E10,W$2,IF(C10&lt;E10,W$4,IF(ISNUMBER(C10),W$3,0)))+IF(G10&gt;I10,W$2,IF(G10&lt;I10,W$4,IF(ISNUMBER(G10),W$3,0)))+IF(K10&gt;M10,W$2,IF(K10&lt;M10,W$4,IF(ISNUMBER(K10),W$3,0)))+IF(O10&gt;Q10,W$2,IF(O10&lt;Q10,W$4,IF(ISNUMBER(O10),W$3,0)))+IF(S10&gt;U10,W$2,IF(S10&lt;U10,W$4,IF(ISNUMBER(S10),W$3,0)))</f>
        <v>3</v>
      </c>
      <c r="X10" s="29">
        <v>16</v>
      </c>
      <c r="Y10" s="29"/>
      <c r="Z10" s="13">
        <f t="shared" si="0"/>
        <v>48</v>
      </c>
      <c r="AA10" s="14" t="s">
        <v>346</v>
      </c>
      <c r="AB10" s="39">
        <f t="shared" si="1"/>
        <v>22</v>
      </c>
      <c r="AC10" s="40">
        <f t="shared" si="2"/>
        <v>26</v>
      </c>
      <c r="AD10" s="41">
        <f t="shared" si="3"/>
        <v>316</v>
      </c>
      <c r="AE10" s="42">
        <f>IFERROR(INDEX(V!$R:$R,MATCH(AF10,V!$L:$L,0)),"")</f>
        <v>146</v>
      </c>
      <c r="AF10" s="43" t="str">
        <f t="shared" si="4"/>
        <v>Kristel Tihhonjuk</v>
      </c>
      <c r="AG10" s="42">
        <f>IFERROR(INDEX(V!$R:$R,MATCH(AH10,V!$L:$L,0)),"")</f>
        <v>170</v>
      </c>
      <c r="AH10" s="43" t="str">
        <f t="shared" si="5"/>
        <v>Tõnis Neiland</v>
      </c>
      <c r="AI10" s="42" t="str">
        <f>IFERROR(INDEX(V!$R:$R,MATCH(AJ10,V!$L:$L,0)),"")</f>
        <v/>
      </c>
      <c r="AJ10" s="43" t="str">
        <f t="shared" si="6"/>
        <v/>
      </c>
      <c r="AK10" s="42" t="str">
        <f>IFERROR(INDEX(V!$R:$R,MATCH(AL10,V!$L:$L,0)),"")</f>
        <v/>
      </c>
      <c r="AL10" s="43" t="str">
        <f t="shared" si="7"/>
        <v/>
      </c>
      <c r="AM10" s="42" t="str">
        <f>IFERROR(INDEX(V!$R:$R,MATCH(AN10,V!$L:$L,0)),"")</f>
        <v/>
      </c>
      <c r="AN10" s="43" t="str">
        <f t="shared" si="8"/>
        <v/>
      </c>
      <c r="AO10" s="42" t="str">
        <f>IFERROR(INDEX(V!$R:$R,MATCH(AP10,V!$L:$L,0)),"")</f>
        <v/>
      </c>
      <c r="AP10" s="43" t="str">
        <f t="shared" si="9"/>
        <v/>
      </c>
    </row>
    <row r="11" spans="1:42">
      <c r="A11" s="11">
        <v>5</v>
      </c>
      <c r="B11" s="16" t="s">
        <v>349</v>
      </c>
      <c r="C11" s="13">
        <v>13</v>
      </c>
      <c r="D11" s="14" t="s">
        <v>346</v>
      </c>
      <c r="E11" s="14">
        <v>2</v>
      </c>
      <c r="F11" s="15" t="s">
        <v>388</v>
      </c>
      <c r="G11" s="13">
        <v>13</v>
      </c>
      <c r="H11" s="14" t="s">
        <v>346</v>
      </c>
      <c r="I11" s="14">
        <v>7</v>
      </c>
      <c r="J11" s="15" t="s">
        <v>436</v>
      </c>
      <c r="K11" s="13">
        <v>10</v>
      </c>
      <c r="L11" s="14" t="s">
        <v>346</v>
      </c>
      <c r="M11" s="14">
        <v>11</v>
      </c>
      <c r="N11" s="15" t="s">
        <v>431</v>
      </c>
      <c r="O11" s="13">
        <v>9</v>
      </c>
      <c r="P11" s="14" t="s">
        <v>346</v>
      </c>
      <c r="Q11" s="14">
        <v>13</v>
      </c>
      <c r="R11" s="15" t="s">
        <v>433</v>
      </c>
      <c r="S11" s="13"/>
      <c r="T11" s="14"/>
      <c r="U11" s="14"/>
      <c r="V11" s="15"/>
      <c r="W11" s="28">
        <f>IF(C11&gt;E11,W$2,IF(C11&lt;E11,W$4,IF(ISNUMBER(C11),W$3,0)))+IF(G11&gt;I11,W$2,IF(G11&lt;I11,W$4,IF(ISNUMBER(G11),W$3,0)))+IF(K11&gt;M11,W$2,IF(K11&lt;M11,W$4,IF(ISNUMBER(K11),W$3,0)))+IF(O11&gt;Q11,W$2,IF(O11&lt;Q11,W$4,IF(ISNUMBER(O11),W$3,0)))+IF(S11&gt;U11,W$2,IF(S11&lt;U11,W$4,IF(ISNUMBER(S11),W$3,0)))</f>
        <v>2</v>
      </c>
      <c r="X11" s="29">
        <v>22</v>
      </c>
      <c r="Y11" s="29"/>
      <c r="Z11" s="13">
        <f t="shared" si="0"/>
        <v>45</v>
      </c>
      <c r="AA11" s="14" t="s">
        <v>346</v>
      </c>
      <c r="AB11" s="39">
        <f t="shared" si="1"/>
        <v>33</v>
      </c>
      <c r="AC11" s="40">
        <f t="shared" si="2"/>
        <v>12</v>
      </c>
      <c r="AD11" s="41">
        <f t="shared" si="3"/>
        <v>186</v>
      </c>
      <c r="AE11" s="42">
        <f>IFERROR(INDEX(V!$R:$R,MATCH(AF11,V!$L:$L,0)),"")</f>
        <v>104</v>
      </c>
      <c r="AF11" s="43" t="str">
        <f t="shared" si="4"/>
        <v>Andres Veski</v>
      </c>
      <c r="AG11" s="42">
        <f>IFERROR(INDEX(V!$R:$R,MATCH(AH11,V!$L:$L,0)),"")</f>
        <v>82</v>
      </c>
      <c r="AH11" s="43" t="str">
        <f t="shared" si="5"/>
        <v>Svetlana Veski</v>
      </c>
      <c r="AI11" s="42" t="str">
        <f>IFERROR(INDEX(V!$R:$R,MATCH(AJ11,V!$L:$L,0)),"")</f>
        <v/>
      </c>
      <c r="AJ11" s="43" t="str">
        <f t="shared" si="6"/>
        <v/>
      </c>
      <c r="AK11" s="42" t="str">
        <f>IFERROR(INDEX(V!$R:$R,MATCH(AL11,V!$L:$L,0)),"")</f>
        <v/>
      </c>
      <c r="AL11" s="43" t="str">
        <f t="shared" si="7"/>
        <v/>
      </c>
      <c r="AM11" s="42" t="str">
        <f>IFERROR(INDEX(V!$R:$R,MATCH(AN11,V!$L:$L,0)),"")</f>
        <v/>
      </c>
      <c r="AN11" s="43" t="str">
        <f t="shared" si="8"/>
        <v/>
      </c>
      <c r="AO11" s="42" t="str">
        <f>IFERROR(INDEX(V!$R:$R,MATCH(AP11,V!$L:$L,0)),"")</f>
        <v/>
      </c>
      <c r="AP11" s="43" t="str">
        <f t="shared" si="9"/>
        <v/>
      </c>
    </row>
    <row r="12" spans="1:42">
      <c r="A12" s="11">
        <v>6</v>
      </c>
      <c r="B12" s="17" t="s">
        <v>434</v>
      </c>
      <c r="C12" s="13">
        <v>11</v>
      </c>
      <c r="D12" s="14" t="s">
        <v>346</v>
      </c>
      <c r="E12" s="14">
        <v>13</v>
      </c>
      <c r="F12" s="15" t="s">
        <v>433</v>
      </c>
      <c r="G12" s="13">
        <v>13</v>
      </c>
      <c r="H12" s="14" t="s">
        <v>346</v>
      </c>
      <c r="I12" s="14">
        <v>8</v>
      </c>
      <c r="J12" s="15" t="s">
        <v>351</v>
      </c>
      <c r="K12" s="13">
        <v>13</v>
      </c>
      <c r="L12" s="14" t="s">
        <v>346</v>
      </c>
      <c r="M12" s="14">
        <v>2</v>
      </c>
      <c r="N12" s="15" t="s">
        <v>388</v>
      </c>
      <c r="O12" s="13">
        <v>1</v>
      </c>
      <c r="P12" s="14" t="s">
        <v>346</v>
      </c>
      <c r="Q12" s="14">
        <v>13</v>
      </c>
      <c r="R12" s="15" t="s">
        <v>432</v>
      </c>
      <c r="S12" s="13"/>
      <c r="T12" s="14"/>
      <c r="U12" s="14"/>
      <c r="V12" s="15"/>
      <c r="W12" s="28">
        <f>IF(C12&gt;E12,W$2,IF(C12&lt;E12,W$4,IF(ISNUMBER(C12),W$3,0)))+IF(G12&gt;I12,W$2,IF(G12&lt;I12,W$4,IF(ISNUMBER(G12),W$3,0)))+IF(K12&gt;M12,W$2,IF(K12&lt;M12,W$4,IF(ISNUMBER(K12),W$3,0)))+IF(O12&gt;Q12,W$2,IF(O12&lt;Q12,W$4,IF(ISNUMBER(O12),W$3,0)))+IF(S12&gt;U12,W$2,IF(S12&lt;U12,W$4,IF(ISNUMBER(S12),W$3,0)))</f>
        <v>2</v>
      </c>
      <c r="X12" s="29">
        <v>18</v>
      </c>
      <c r="Y12" s="29"/>
      <c r="Z12" s="13">
        <f t="shared" si="0"/>
        <v>38</v>
      </c>
      <c r="AA12" s="14" t="s">
        <v>346</v>
      </c>
      <c r="AB12" s="39">
        <f t="shared" si="1"/>
        <v>36</v>
      </c>
      <c r="AC12" s="40">
        <f t="shared" si="2"/>
        <v>2</v>
      </c>
      <c r="AD12" s="41">
        <f t="shared" si="3"/>
        <v>168</v>
      </c>
      <c r="AE12" s="42">
        <f>IFERROR(INDEX(V!$R:$R,MATCH(AF12,V!$L:$L,0)),"")</f>
        <v>98</v>
      </c>
      <c r="AF12" s="43" t="str">
        <f t="shared" si="4"/>
        <v>Marko Rooden</v>
      </c>
      <c r="AG12" s="42">
        <f>IFERROR(INDEX(V!$R:$R,MATCH(AH12,V!$L:$L,0)),"")</f>
        <v>70</v>
      </c>
      <c r="AH12" s="43" t="str">
        <f t="shared" si="5"/>
        <v>Melika Lehtla</v>
      </c>
      <c r="AI12" s="42" t="str">
        <f>IFERROR(INDEX(V!$R:$R,MATCH(AJ12,V!$L:$L,0)),"")</f>
        <v/>
      </c>
      <c r="AJ12" s="43" t="str">
        <f t="shared" si="6"/>
        <v/>
      </c>
      <c r="AK12" s="42" t="str">
        <f>IFERROR(INDEX(V!$R:$R,MATCH(AL12,V!$L:$L,0)),"")</f>
        <v/>
      </c>
      <c r="AL12" s="43" t="str">
        <f t="shared" si="7"/>
        <v/>
      </c>
      <c r="AM12" s="42" t="str">
        <f>IFERROR(INDEX(V!$R:$R,MATCH(AN12,V!$L:$L,0)),"")</f>
        <v/>
      </c>
      <c r="AN12" s="43" t="str">
        <f t="shared" si="8"/>
        <v/>
      </c>
      <c r="AO12" s="42" t="str">
        <f>IFERROR(INDEX(V!$R:$R,MATCH(AP12,V!$L:$L,0)),"")</f>
        <v/>
      </c>
      <c r="AP12" s="43" t="str">
        <f t="shared" si="9"/>
        <v/>
      </c>
    </row>
    <row r="13" spans="1:42">
      <c r="A13" s="11">
        <v>7</v>
      </c>
      <c r="B13" s="18" t="s">
        <v>436</v>
      </c>
      <c r="C13" s="13">
        <v>13</v>
      </c>
      <c r="D13" s="14" t="s">
        <v>346</v>
      </c>
      <c r="E13" s="14">
        <v>6</v>
      </c>
      <c r="F13" s="15" t="s">
        <v>437</v>
      </c>
      <c r="G13" s="13">
        <v>7</v>
      </c>
      <c r="H13" s="14" t="s">
        <v>346</v>
      </c>
      <c r="I13" s="14">
        <v>13</v>
      </c>
      <c r="J13" s="15" t="s">
        <v>349</v>
      </c>
      <c r="K13" s="13">
        <v>9</v>
      </c>
      <c r="L13" s="14" t="s">
        <v>346</v>
      </c>
      <c r="M13" s="14">
        <v>13</v>
      </c>
      <c r="N13" s="15" t="s">
        <v>432</v>
      </c>
      <c r="O13" s="13">
        <v>12</v>
      </c>
      <c r="P13" s="14" t="s">
        <v>346</v>
      </c>
      <c r="Q13" s="14">
        <v>9</v>
      </c>
      <c r="R13" s="15" t="s">
        <v>356</v>
      </c>
      <c r="S13" s="13"/>
      <c r="T13" s="14"/>
      <c r="U13" s="14"/>
      <c r="V13" s="15"/>
      <c r="W13" s="28">
        <f>IF(C13&gt;E13,W$2,IF(C13&lt;E13,W$4,IF(ISNUMBER(C13),W$3,0)))+IF(G13&gt;I13,W$2,IF(G13&lt;I13,W$4,IF(ISNUMBER(G13),W$3,0)))+IF(K13&gt;M13,W$2,IF(K13&lt;M13,W$4,IF(ISNUMBER(K13),W$3,0)))+IF(O13&gt;Q13,W$2,IF(O13&lt;Q13,W$4,IF(ISNUMBER(O13),W$3,0)))+IF(S13&gt;U13,W$2,IF(S13&lt;U13,W$4,IF(ISNUMBER(S13),W$3,0)))</f>
        <v>2</v>
      </c>
      <c r="X13" s="29">
        <v>16</v>
      </c>
      <c r="Y13" s="29"/>
      <c r="Z13" s="13">
        <f t="shared" si="0"/>
        <v>41</v>
      </c>
      <c r="AA13" s="14" t="s">
        <v>346</v>
      </c>
      <c r="AB13" s="39">
        <f t="shared" si="1"/>
        <v>41</v>
      </c>
      <c r="AC13" s="40">
        <f t="shared" si="2"/>
        <v>0</v>
      </c>
      <c r="AD13" s="41">
        <f t="shared" si="3"/>
        <v>208</v>
      </c>
      <c r="AE13" s="42">
        <f>IFERROR(INDEX(V!$R:$R,MATCH(AF13,V!$L:$L,0)),"")</f>
        <v>96</v>
      </c>
      <c r="AF13" s="43" t="str">
        <f t="shared" si="4"/>
        <v>Andrei Grintšak</v>
      </c>
      <c r="AG13" s="42">
        <f>IFERROR(INDEX(V!$R:$R,MATCH(AH13,V!$L:$L,0)),"")</f>
        <v>112</v>
      </c>
      <c r="AH13" s="43" t="str">
        <f t="shared" si="5"/>
        <v>Jaan Sepp</v>
      </c>
      <c r="AI13" s="42" t="str">
        <f>IFERROR(INDEX(V!$R:$R,MATCH(AJ13,V!$L:$L,0)),"")</f>
        <v/>
      </c>
      <c r="AJ13" s="43" t="str">
        <f t="shared" si="6"/>
        <v/>
      </c>
      <c r="AK13" s="42" t="str">
        <f>IFERROR(INDEX(V!$R:$R,MATCH(AL13,V!$L:$L,0)),"")</f>
        <v/>
      </c>
      <c r="AL13" s="43" t="str">
        <f t="shared" si="7"/>
        <v/>
      </c>
      <c r="AM13" s="42" t="str">
        <f>IFERROR(INDEX(V!$R:$R,MATCH(AN13,V!$L:$L,0)),"")</f>
        <v/>
      </c>
      <c r="AN13" s="43" t="str">
        <f t="shared" si="8"/>
        <v/>
      </c>
      <c r="AO13" s="42" t="str">
        <f>IFERROR(INDEX(V!$R:$R,MATCH(AP13,V!$L:$L,0)),"")</f>
        <v/>
      </c>
      <c r="AP13" s="43" t="str">
        <f t="shared" si="9"/>
        <v/>
      </c>
    </row>
    <row r="14" spans="1:42">
      <c r="A14" s="11">
        <v>8</v>
      </c>
      <c r="B14" s="18" t="s">
        <v>426</v>
      </c>
      <c r="C14" s="13">
        <v>8</v>
      </c>
      <c r="D14" s="14" t="s">
        <v>346</v>
      </c>
      <c r="E14" s="14">
        <v>12</v>
      </c>
      <c r="F14" s="15" t="s">
        <v>356</v>
      </c>
      <c r="G14" s="13">
        <v>8</v>
      </c>
      <c r="H14" s="14" t="s">
        <v>346</v>
      </c>
      <c r="I14" s="14">
        <v>11</v>
      </c>
      <c r="J14" s="15" t="s">
        <v>433</v>
      </c>
      <c r="K14" s="13">
        <v>13</v>
      </c>
      <c r="L14" s="14" t="s">
        <v>346</v>
      </c>
      <c r="M14" s="14">
        <v>10</v>
      </c>
      <c r="N14" s="15" t="s">
        <v>351</v>
      </c>
      <c r="O14" s="13">
        <v>13</v>
      </c>
      <c r="P14" s="14" t="s">
        <v>346</v>
      </c>
      <c r="Q14" s="14">
        <v>1</v>
      </c>
      <c r="R14" s="15" t="s">
        <v>435</v>
      </c>
      <c r="S14" s="13"/>
      <c r="T14" s="14"/>
      <c r="U14" s="14"/>
      <c r="V14" s="15"/>
      <c r="W14" s="28">
        <f>IF(C14&gt;E14,W$2,IF(C14&lt;E14,W$4,IF(ISNUMBER(C14),W$3,0)))+IF(G14&gt;I14,W$2,IF(G14&lt;I14,W$4,IF(ISNUMBER(G14),W$3,0)))+IF(K14&gt;M14,W$2,IF(K14&lt;M14,W$4,IF(ISNUMBER(K14),W$3,0)))+IF(O14&gt;Q14,W$2,IF(O14&lt;Q14,W$4,IF(ISNUMBER(O14),W$3,0)))+IF(S14&gt;U14,W$2,IF(S14&lt;U14,W$4,IF(ISNUMBER(S14),W$3,0)))</f>
        <v>2</v>
      </c>
      <c r="X14" s="29">
        <v>12</v>
      </c>
      <c r="Y14" s="29"/>
      <c r="Z14" s="13">
        <f t="shared" si="0"/>
        <v>42</v>
      </c>
      <c r="AA14" s="14" t="s">
        <v>346</v>
      </c>
      <c r="AB14" s="39">
        <f t="shared" si="1"/>
        <v>34</v>
      </c>
      <c r="AC14" s="40">
        <f t="shared" si="2"/>
        <v>8</v>
      </c>
      <c r="AD14" s="41">
        <f t="shared" si="3"/>
        <v>234</v>
      </c>
      <c r="AE14" s="42">
        <f>IFERROR(INDEX(V!$R:$R,MATCH(AF14,V!$L:$L,0)),"")</f>
        <v>86</v>
      </c>
      <c r="AF14" s="43" t="str">
        <f t="shared" si="4"/>
        <v>Kenneth Muusikus</v>
      </c>
      <c r="AG14" s="42">
        <f>IFERROR(INDEX(V!$R:$R,MATCH(AH14,V!$L:$L,0)),"")</f>
        <v>148</v>
      </c>
      <c r="AH14" s="43" t="str">
        <f t="shared" si="5"/>
        <v>Olav Türk</v>
      </c>
      <c r="AI14" s="42" t="str">
        <f>IFERROR(INDEX(V!$R:$R,MATCH(AJ14,V!$L:$L,0)),"")</f>
        <v/>
      </c>
      <c r="AJ14" s="43" t="str">
        <f t="shared" si="6"/>
        <v/>
      </c>
      <c r="AK14" s="42" t="str">
        <f>IFERROR(INDEX(V!$R:$R,MATCH(AL14,V!$L:$L,0)),"")</f>
        <v/>
      </c>
      <c r="AL14" s="43" t="str">
        <f t="shared" si="7"/>
        <v/>
      </c>
      <c r="AM14" s="42" t="str">
        <f>IFERROR(INDEX(V!$R:$R,MATCH(AN14,V!$L:$L,0)),"")</f>
        <v/>
      </c>
      <c r="AN14" s="43" t="str">
        <f t="shared" si="8"/>
        <v/>
      </c>
      <c r="AO14" s="42" t="str">
        <f>IFERROR(INDEX(V!$R:$R,MATCH(AP14,V!$L:$L,0)),"")</f>
        <v/>
      </c>
      <c r="AP14" s="43" t="str">
        <f t="shared" si="9"/>
        <v/>
      </c>
    </row>
    <row r="15" spans="1:42">
      <c r="A15" s="11">
        <v>9</v>
      </c>
      <c r="B15" s="17" t="s">
        <v>388</v>
      </c>
      <c r="C15" s="13">
        <v>2</v>
      </c>
      <c r="D15" s="14" t="s">
        <v>346</v>
      </c>
      <c r="E15" s="14">
        <v>13</v>
      </c>
      <c r="F15" s="15" t="s">
        <v>349</v>
      </c>
      <c r="G15" s="13">
        <v>13</v>
      </c>
      <c r="H15" s="14" t="s">
        <v>346</v>
      </c>
      <c r="I15" s="14">
        <v>5</v>
      </c>
      <c r="J15" s="15" t="s">
        <v>347</v>
      </c>
      <c r="K15" s="13">
        <v>2</v>
      </c>
      <c r="L15" s="14" t="s">
        <v>346</v>
      </c>
      <c r="M15" s="14">
        <v>13</v>
      </c>
      <c r="N15" s="15" t="s">
        <v>434</v>
      </c>
      <c r="O15" s="13">
        <v>13</v>
      </c>
      <c r="P15" s="14" t="s">
        <v>346</v>
      </c>
      <c r="Q15" s="14">
        <v>4</v>
      </c>
      <c r="R15" s="15" t="s">
        <v>437</v>
      </c>
      <c r="S15" s="13"/>
      <c r="T15" s="14"/>
      <c r="U15" s="14"/>
      <c r="V15" s="15"/>
      <c r="W15" s="28">
        <f>IF(C15&gt;E15,W$2,IF(C15&lt;E15,W$4,IF(ISNUMBER(C15),W$3,0)))+IF(G15&gt;I15,W$2,IF(G15&lt;I15,W$4,IF(ISNUMBER(G15),W$3,0)))+IF(K15&gt;M15,W$2,IF(K15&lt;M15,W$4,IF(ISNUMBER(K15),W$3,0)))+IF(O15&gt;Q15,W$2,IF(O15&lt;Q15,W$4,IF(ISNUMBER(O15),W$3,0)))+IF(S15&gt;U15,W$2,IF(S15&lt;U15,W$4,IF(ISNUMBER(S15),W$3,0)))</f>
        <v>2</v>
      </c>
      <c r="X15" s="29">
        <v>12</v>
      </c>
      <c r="Y15" s="29"/>
      <c r="Z15" s="13">
        <f t="shared" si="0"/>
        <v>30</v>
      </c>
      <c r="AA15" s="14" t="s">
        <v>346</v>
      </c>
      <c r="AB15" s="39">
        <f t="shared" si="1"/>
        <v>35</v>
      </c>
      <c r="AC15" s="40">
        <f t="shared" si="2"/>
        <v>-5</v>
      </c>
      <c r="AD15" s="41">
        <f t="shared" si="3"/>
        <v>156</v>
      </c>
      <c r="AE15" s="42">
        <f>IFERROR(INDEX(V!$R:$R,MATCH(AF15,V!$L:$L,0)),"")</f>
        <v>78</v>
      </c>
      <c r="AF15" s="43" t="str">
        <f t="shared" si="4"/>
        <v>Sander Aul</v>
      </c>
      <c r="AG15" s="42">
        <f>IFERROR(INDEX(V!$R:$R,MATCH(AH15,V!$L:$L,0)),"")</f>
        <v>78</v>
      </c>
      <c r="AH15" s="43" t="str">
        <f t="shared" si="5"/>
        <v>Väino Aul</v>
      </c>
      <c r="AI15" s="42" t="str">
        <f>IFERROR(INDEX(V!$R:$R,MATCH(AJ15,V!$L:$L,0)),"")</f>
        <v/>
      </c>
      <c r="AJ15" s="43" t="str">
        <f t="shared" si="6"/>
        <v/>
      </c>
      <c r="AK15" s="42" t="str">
        <f>IFERROR(INDEX(V!$R:$R,MATCH(AL15,V!$L:$L,0)),"")</f>
        <v/>
      </c>
      <c r="AL15" s="43" t="str">
        <f t="shared" si="7"/>
        <v/>
      </c>
      <c r="AM15" s="42" t="str">
        <f>IFERROR(INDEX(V!$R:$R,MATCH(AN15,V!$L:$L,0)),"")</f>
        <v/>
      </c>
      <c r="AN15" s="43" t="str">
        <f t="shared" si="8"/>
        <v/>
      </c>
      <c r="AO15" s="42" t="str">
        <f>IFERROR(INDEX(V!$R:$R,MATCH(AP15,V!$L:$L,0)),"")</f>
        <v/>
      </c>
      <c r="AP15" s="43" t="str">
        <f t="shared" si="9"/>
        <v/>
      </c>
    </row>
    <row r="16" spans="1:42">
      <c r="A16" s="11">
        <v>10</v>
      </c>
      <c r="B16" s="18" t="s">
        <v>437</v>
      </c>
      <c r="C16" s="13">
        <v>6</v>
      </c>
      <c r="D16" s="14" t="s">
        <v>346</v>
      </c>
      <c r="E16" s="14">
        <v>13</v>
      </c>
      <c r="F16" s="15" t="s">
        <v>436</v>
      </c>
      <c r="G16" s="13">
        <v>13</v>
      </c>
      <c r="H16" s="14" t="s">
        <v>346</v>
      </c>
      <c r="I16" s="14">
        <v>11</v>
      </c>
      <c r="J16" s="15" t="s">
        <v>435</v>
      </c>
      <c r="K16" s="13">
        <v>13</v>
      </c>
      <c r="L16" s="14" t="s">
        <v>346</v>
      </c>
      <c r="M16" s="14">
        <v>10</v>
      </c>
      <c r="N16" s="15" t="s">
        <v>356</v>
      </c>
      <c r="O16" s="13">
        <v>4</v>
      </c>
      <c r="P16" s="14" t="s">
        <v>346</v>
      </c>
      <c r="Q16" s="14">
        <v>13</v>
      </c>
      <c r="R16" s="15" t="s">
        <v>388</v>
      </c>
      <c r="S16" s="13"/>
      <c r="T16" s="14"/>
      <c r="U16" s="14"/>
      <c r="V16" s="15"/>
      <c r="W16" s="28">
        <f t="shared" ref="W16:W22" si="10">IF(C16&gt;E16,W$2,IF(C16&lt;E16,W$4,IF(ISNUMBER(C16),W$3,0)))+IF(G16&gt;I16,W$2,IF(G16&lt;I16,W$4,IF(ISNUMBER(G16),W$3,0)))+IF(K16&gt;M16,W$2,IF(K16&lt;M16,W$4,IF(ISNUMBER(K16),W$3,0)))+IF(O16&gt;Q16,W$2,IF(O16&lt;Q16,W$4,IF(ISNUMBER(O16),W$3,0)))+IF(S16&gt;U16,W$2,IF(S16&lt;U16,W$4,IF(ISNUMBER(S16),W$3,0)))</f>
        <v>2</v>
      </c>
      <c r="X16" s="29">
        <v>12</v>
      </c>
      <c r="Y16" s="29"/>
      <c r="Z16" s="13">
        <f t="shared" ref="Z16:Z22" si="11">C16+G16+K16+O16+S16</f>
        <v>36</v>
      </c>
      <c r="AA16" s="14" t="s">
        <v>346</v>
      </c>
      <c r="AB16" s="39">
        <f t="shared" ref="AB16:AB22" si="12">E16+I16+M16+Q16+U16</f>
        <v>47</v>
      </c>
      <c r="AC16" s="40">
        <f t="shared" ref="AC16:AC22" si="13">Z16-AB16</f>
        <v>-11</v>
      </c>
      <c r="AD16" s="41">
        <f t="shared" ref="AD16:AD22" si="14">SUM(AE16:AL16)</f>
        <v>114</v>
      </c>
      <c r="AE16" s="42">
        <f>IFERROR(INDEX(V!$R:$R,MATCH(AF16,V!$L:$L,0)),"")</f>
        <v>54</v>
      </c>
      <c r="AF16" s="43" t="str">
        <f t="shared" ref="AF16:AF22" si="15">IFERROR(LEFT($B16,(FIND(",",$B16,1)-1)),"")</f>
        <v>Janek Tarto</v>
      </c>
      <c r="AG16" s="42">
        <f>IFERROR(INDEX(V!$R:$R,MATCH(AH16,V!$L:$L,0)),"")</f>
        <v>60</v>
      </c>
      <c r="AH16" s="43" t="str">
        <f t="shared" ref="AH16:AH22" si="16">IFERROR(MID($B16,FIND(", ",$B16)+2,256),"")</f>
        <v>Kaspar Mänd</v>
      </c>
      <c r="AI16" s="42" t="str">
        <f>IFERROR(INDEX(V!$R:$R,MATCH(AJ16,V!$L:$L,0)),"")</f>
        <v/>
      </c>
      <c r="AJ16" s="43" t="str">
        <f t="shared" ref="AJ16:AJ22" si="17">IFERROR(MID($B16,FIND("^",SUBSTITUTE($B16,", ","^",1))+2,FIND("^",SUBSTITUTE($B16,", ","^",2))-FIND("^",SUBSTITUTE($B16,", ","^",1))-2),"")</f>
        <v/>
      </c>
      <c r="AK16" s="42" t="str">
        <f>IFERROR(INDEX(V!$R:$R,MATCH(AL16,V!$L:$L,0)),"")</f>
        <v/>
      </c>
      <c r="AL16" s="43" t="str">
        <f t="shared" ref="AL16:AL22" si="18">IFERROR(MID($B16,FIND(", ",$B16,FIND(", ",$B16,FIND(", ",$B16))+1)+2,30000),"")</f>
        <v/>
      </c>
      <c r="AM16" s="42" t="str">
        <f>IFERROR(INDEX(V!$R:$R,MATCH(AN16,V!$L:$L,0)),"")</f>
        <v/>
      </c>
      <c r="AN16" s="43" t="str">
        <f t="shared" ref="AN16:AN22" si="19">IFERROR(MID($B16,FIND(", ",$B16,FIND(", ",$B16)+1)+2,FIND(", ",$B16,FIND(", ",$B16,FIND(", ",$B16)+1)+1)-FIND(", ",$B16,FIND(", ",$B16)+1)-2),"")</f>
        <v/>
      </c>
      <c r="AO16" s="42" t="str">
        <f>IFERROR(INDEX(V!$R:$R,MATCH(AP16,V!$L:$L,0)),"")</f>
        <v/>
      </c>
      <c r="AP16" s="43" t="str">
        <f t="shared" ref="AP16:AP22" si="20">IFERROR(MID($B16,FIND(", ",$B16,FIND(", ",$B16,FIND(", ",$B16)+1)+1)+2,30000),"")</f>
        <v/>
      </c>
    </row>
    <row r="17" spans="1:42">
      <c r="A17" s="11">
        <v>11</v>
      </c>
      <c r="B17" s="17" t="s">
        <v>356</v>
      </c>
      <c r="C17" s="13">
        <v>12</v>
      </c>
      <c r="D17" s="14" t="s">
        <v>346</v>
      </c>
      <c r="E17" s="14">
        <v>8</v>
      </c>
      <c r="F17" s="15" t="s">
        <v>426</v>
      </c>
      <c r="G17" s="13">
        <v>1</v>
      </c>
      <c r="H17" s="14" t="s">
        <v>346</v>
      </c>
      <c r="I17" s="14">
        <v>13</v>
      </c>
      <c r="J17" s="15" t="s">
        <v>431</v>
      </c>
      <c r="K17" s="13">
        <v>10</v>
      </c>
      <c r="L17" s="14" t="s">
        <v>346</v>
      </c>
      <c r="M17" s="14">
        <v>13</v>
      </c>
      <c r="N17" s="15" t="s">
        <v>437</v>
      </c>
      <c r="O17" s="13">
        <v>9</v>
      </c>
      <c r="P17" s="14" t="s">
        <v>346</v>
      </c>
      <c r="Q17" s="14">
        <v>12</v>
      </c>
      <c r="R17" s="15" t="s">
        <v>436</v>
      </c>
      <c r="S17" s="13"/>
      <c r="T17" s="14"/>
      <c r="U17" s="14"/>
      <c r="V17" s="15"/>
      <c r="W17" s="28">
        <f t="shared" si="10"/>
        <v>1</v>
      </c>
      <c r="X17" s="29">
        <v>20</v>
      </c>
      <c r="Y17" s="29"/>
      <c r="Z17" s="13">
        <f t="shared" si="11"/>
        <v>32</v>
      </c>
      <c r="AA17" s="14" t="s">
        <v>346</v>
      </c>
      <c r="AB17" s="39">
        <f t="shared" si="12"/>
        <v>46</v>
      </c>
      <c r="AC17" s="40">
        <f t="shared" si="13"/>
        <v>-14</v>
      </c>
      <c r="AD17" s="41">
        <f t="shared" si="14"/>
        <v>140</v>
      </c>
      <c r="AE17" s="42">
        <f>IFERROR(INDEX(V!$R:$R,MATCH(AF17,V!$L:$L,0)),"")</f>
        <v>70</v>
      </c>
      <c r="AF17" s="43" t="str">
        <f t="shared" si="15"/>
        <v>Ljudmila Varendi</v>
      </c>
      <c r="AG17" s="42">
        <f>IFERROR(INDEX(V!$R:$R,MATCH(AH17,V!$L:$L,0)),"")</f>
        <v>70</v>
      </c>
      <c r="AH17" s="43" t="str">
        <f t="shared" si="16"/>
        <v>Viktor Švarõgin</v>
      </c>
      <c r="AI17" s="42" t="str">
        <f>IFERROR(INDEX(V!$R:$R,MATCH(AJ17,V!$L:$L,0)),"")</f>
        <v/>
      </c>
      <c r="AJ17" s="43" t="str">
        <f t="shared" si="17"/>
        <v/>
      </c>
      <c r="AK17" s="42" t="str">
        <f>IFERROR(INDEX(V!$R:$R,MATCH(AL17,V!$L:$L,0)),"")</f>
        <v/>
      </c>
      <c r="AL17" s="43" t="str">
        <f t="shared" si="18"/>
        <v/>
      </c>
      <c r="AM17" s="42" t="str">
        <f>IFERROR(INDEX(V!$R:$R,MATCH(AN17,V!$L:$L,0)),"")</f>
        <v/>
      </c>
      <c r="AN17" s="43" t="str">
        <f t="shared" si="19"/>
        <v/>
      </c>
      <c r="AO17" s="42" t="str">
        <f>IFERROR(INDEX(V!$R:$R,MATCH(AP17,V!$L:$L,0)),"")</f>
        <v/>
      </c>
      <c r="AP17" s="43" t="str">
        <f t="shared" si="20"/>
        <v/>
      </c>
    </row>
    <row r="18" spans="1:42">
      <c r="A18" s="11">
        <v>12</v>
      </c>
      <c r="B18" s="18" t="s">
        <v>351</v>
      </c>
      <c r="C18" s="13">
        <v>8</v>
      </c>
      <c r="D18" s="14" t="s">
        <v>346</v>
      </c>
      <c r="E18" s="14">
        <v>13</v>
      </c>
      <c r="F18" s="15" t="s">
        <v>431</v>
      </c>
      <c r="G18" s="13">
        <v>8</v>
      </c>
      <c r="H18" s="14" t="s">
        <v>346</v>
      </c>
      <c r="I18" s="14">
        <v>13</v>
      </c>
      <c r="J18" s="15" t="s">
        <v>434</v>
      </c>
      <c r="K18" s="13">
        <v>10</v>
      </c>
      <c r="L18" s="14" t="s">
        <v>346</v>
      </c>
      <c r="M18" s="14">
        <v>13</v>
      </c>
      <c r="N18" s="15" t="s">
        <v>426</v>
      </c>
      <c r="O18" s="13">
        <v>13</v>
      </c>
      <c r="P18" s="14" t="s">
        <v>346</v>
      </c>
      <c r="Q18" s="14">
        <v>9</v>
      </c>
      <c r="R18" s="15" t="s">
        <v>347</v>
      </c>
      <c r="S18" s="13"/>
      <c r="T18" s="14"/>
      <c r="U18" s="14"/>
      <c r="V18" s="15"/>
      <c r="W18" s="28">
        <f t="shared" si="10"/>
        <v>1</v>
      </c>
      <c r="X18" s="29">
        <v>16</v>
      </c>
      <c r="Y18" s="29"/>
      <c r="Z18" s="13">
        <f t="shared" si="11"/>
        <v>39</v>
      </c>
      <c r="AA18" s="14" t="s">
        <v>346</v>
      </c>
      <c r="AB18" s="39">
        <f t="shared" si="12"/>
        <v>48</v>
      </c>
      <c r="AC18" s="40">
        <f t="shared" si="13"/>
        <v>-9</v>
      </c>
      <c r="AD18" s="41">
        <f t="shared" si="14"/>
        <v>44</v>
      </c>
      <c r="AE18" s="42">
        <f>IFERROR(INDEX(V!$R:$R,MATCH(AF18,V!$L:$L,0)),"")</f>
        <v>24</v>
      </c>
      <c r="AF18" s="43" t="str">
        <f t="shared" si="15"/>
        <v>Ivar Viljaste</v>
      </c>
      <c r="AG18" s="42">
        <f>IFERROR(INDEX(V!$R:$R,MATCH(AH18,V!$L:$L,0)),"")</f>
        <v>20</v>
      </c>
      <c r="AH18" s="43" t="str">
        <f t="shared" si="16"/>
        <v>Sirje Viljaste</v>
      </c>
      <c r="AI18" s="42" t="str">
        <f>IFERROR(INDEX(V!$R:$R,MATCH(AJ18,V!$L:$L,0)),"")</f>
        <v/>
      </c>
      <c r="AJ18" s="43" t="str">
        <f t="shared" si="17"/>
        <v/>
      </c>
      <c r="AK18" s="42" t="str">
        <f>IFERROR(INDEX(V!$R:$R,MATCH(AL18,V!$L:$L,0)),"")</f>
        <v/>
      </c>
      <c r="AL18" s="43" t="str">
        <f t="shared" si="18"/>
        <v/>
      </c>
      <c r="AM18" s="42" t="str">
        <f>IFERROR(INDEX(V!$R:$R,MATCH(AN18,V!$L:$L,0)),"")</f>
        <v/>
      </c>
      <c r="AN18" s="43" t="str">
        <f t="shared" si="19"/>
        <v/>
      </c>
      <c r="AO18" s="42" t="str">
        <f>IFERROR(INDEX(V!$R:$R,MATCH(AP18,V!$L:$L,0)),"")</f>
        <v/>
      </c>
      <c r="AP18" s="43" t="str">
        <f t="shared" si="20"/>
        <v/>
      </c>
    </row>
    <row r="19" spans="1:42">
      <c r="A19" s="11">
        <v>13</v>
      </c>
      <c r="B19" s="17" t="s">
        <v>435</v>
      </c>
      <c r="C19" s="13">
        <v>2</v>
      </c>
      <c r="D19" s="14" t="s">
        <v>346</v>
      </c>
      <c r="E19" s="14">
        <v>13</v>
      </c>
      <c r="F19" s="15" t="s">
        <v>432</v>
      </c>
      <c r="G19" s="13">
        <v>11</v>
      </c>
      <c r="H19" s="14" t="s">
        <v>346</v>
      </c>
      <c r="I19" s="14">
        <v>13</v>
      </c>
      <c r="J19" s="15" t="s">
        <v>437</v>
      </c>
      <c r="K19" s="13">
        <v>13</v>
      </c>
      <c r="L19" s="14" t="s">
        <v>346</v>
      </c>
      <c r="M19" s="14">
        <v>7</v>
      </c>
      <c r="N19" s="15" t="s">
        <v>347</v>
      </c>
      <c r="O19" s="13">
        <v>1</v>
      </c>
      <c r="P19" s="14" t="s">
        <v>346</v>
      </c>
      <c r="Q19" s="14">
        <v>13</v>
      </c>
      <c r="R19" s="15" t="s">
        <v>426</v>
      </c>
      <c r="S19" s="13"/>
      <c r="T19" s="14"/>
      <c r="U19" s="14"/>
      <c r="V19" s="15"/>
      <c r="W19" s="28">
        <f t="shared" si="10"/>
        <v>1</v>
      </c>
      <c r="X19" s="29">
        <v>14</v>
      </c>
      <c r="Y19" s="29"/>
      <c r="Z19" s="13">
        <f t="shared" si="11"/>
        <v>27</v>
      </c>
      <c r="AA19" s="14" t="s">
        <v>346</v>
      </c>
      <c r="AB19" s="39">
        <f t="shared" si="12"/>
        <v>46</v>
      </c>
      <c r="AC19" s="40">
        <f t="shared" si="13"/>
        <v>-19</v>
      </c>
      <c r="AD19" s="41">
        <f t="shared" si="14"/>
        <v>8</v>
      </c>
      <c r="AE19" s="42">
        <f>IFERROR(INDEX(V!$R:$R,MATCH(AF19,V!$L:$L,0)),"")</f>
        <v>4</v>
      </c>
      <c r="AF19" s="43" t="str">
        <f t="shared" si="15"/>
        <v>Aleksander Korikov</v>
      </c>
      <c r="AG19" s="42">
        <f>IFERROR(INDEX(V!$R:$R,MATCH(AH19,V!$L:$L,0)),"")</f>
        <v>4</v>
      </c>
      <c r="AH19" s="43" t="str">
        <f t="shared" si="16"/>
        <v>Toomas Tedrekull</v>
      </c>
      <c r="AI19" s="42" t="str">
        <f>IFERROR(INDEX(V!$R:$R,MATCH(AJ19,V!$L:$L,0)),"")</f>
        <v/>
      </c>
      <c r="AJ19" s="43" t="str">
        <f t="shared" si="17"/>
        <v/>
      </c>
      <c r="AK19" s="42" t="str">
        <f>IFERROR(INDEX(V!$R:$R,MATCH(AL19,V!$L:$L,0)),"")</f>
        <v/>
      </c>
      <c r="AL19" s="43" t="str">
        <f t="shared" si="18"/>
        <v/>
      </c>
      <c r="AM19" s="42" t="str">
        <f>IFERROR(INDEX(V!$R:$R,MATCH(AN19,V!$L:$L,0)),"")</f>
        <v/>
      </c>
      <c r="AN19" s="43" t="str">
        <f t="shared" si="19"/>
        <v/>
      </c>
      <c r="AO19" s="42" t="str">
        <f>IFERROR(INDEX(V!$R:$R,MATCH(AP19,V!$L:$L,0)),"")</f>
        <v/>
      </c>
      <c r="AP19" s="43" t="str">
        <f t="shared" si="20"/>
        <v/>
      </c>
    </row>
    <row r="20" spans="1:42">
      <c r="A20" s="11">
        <v>14</v>
      </c>
      <c r="B20" s="18" t="s">
        <v>347</v>
      </c>
      <c r="C20" s="13">
        <v>1</v>
      </c>
      <c r="D20" s="14" t="s">
        <v>346</v>
      </c>
      <c r="E20" s="14">
        <v>13</v>
      </c>
      <c r="F20" s="15" t="s">
        <v>360</v>
      </c>
      <c r="G20" s="13">
        <v>5</v>
      </c>
      <c r="H20" s="14" t="s">
        <v>346</v>
      </c>
      <c r="I20" s="14">
        <v>13</v>
      </c>
      <c r="J20" s="15" t="s">
        <v>388</v>
      </c>
      <c r="K20" s="13">
        <v>7</v>
      </c>
      <c r="L20" s="14" t="s">
        <v>346</v>
      </c>
      <c r="M20" s="14">
        <v>13</v>
      </c>
      <c r="N20" s="15" t="s">
        <v>435</v>
      </c>
      <c r="O20" s="13">
        <v>9</v>
      </c>
      <c r="P20" s="14" t="s">
        <v>346</v>
      </c>
      <c r="Q20" s="14">
        <v>13</v>
      </c>
      <c r="R20" s="15" t="s">
        <v>351</v>
      </c>
      <c r="S20" s="13"/>
      <c r="T20" s="14"/>
      <c r="U20" s="14"/>
      <c r="V20" s="15"/>
      <c r="W20" s="28">
        <f t="shared" si="10"/>
        <v>0</v>
      </c>
      <c r="X20" s="29">
        <v>14</v>
      </c>
      <c r="Y20" s="29"/>
      <c r="Z20" s="13">
        <f t="shared" si="11"/>
        <v>22</v>
      </c>
      <c r="AA20" s="14" t="s">
        <v>346</v>
      </c>
      <c r="AB20" s="39">
        <f t="shared" si="12"/>
        <v>52</v>
      </c>
      <c r="AC20" s="40">
        <f t="shared" si="13"/>
        <v>-30</v>
      </c>
      <c r="AD20" s="41">
        <f t="shared" si="14"/>
        <v>96</v>
      </c>
      <c r="AE20" s="42">
        <f>IFERROR(INDEX(V!$R:$R,MATCH(AF20,V!$L:$L,0)),"")</f>
        <v>62</v>
      </c>
      <c r="AF20" s="43" t="str">
        <f t="shared" si="15"/>
        <v>Johannes Neiland</v>
      </c>
      <c r="AG20" s="42">
        <f>IFERROR(INDEX(V!$R:$R,MATCH(AH20,V!$L:$L,0)),"")</f>
        <v>34</v>
      </c>
      <c r="AH20" s="43" t="str">
        <f t="shared" si="16"/>
        <v>Urmas Randlaine</v>
      </c>
      <c r="AI20" s="42" t="str">
        <f>IFERROR(INDEX(V!$R:$R,MATCH(AJ20,V!$L:$L,0)),"")</f>
        <v/>
      </c>
      <c r="AJ20" s="43" t="str">
        <f t="shared" si="17"/>
        <v/>
      </c>
      <c r="AK20" s="42" t="str">
        <f>IFERROR(INDEX(V!$R:$R,MATCH(AL20,V!$L:$L,0)),"")</f>
        <v/>
      </c>
      <c r="AL20" s="43" t="str">
        <f t="shared" si="18"/>
        <v/>
      </c>
      <c r="AM20" s="42" t="str">
        <f>IFERROR(INDEX(V!$R:$R,MATCH(AN20,V!$L:$L,0)),"")</f>
        <v/>
      </c>
      <c r="AN20" s="43" t="str">
        <f t="shared" si="19"/>
        <v/>
      </c>
      <c r="AO20" s="42" t="str">
        <f>IFERROR(INDEX(V!$R:$R,MATCH(AP20,V!$L:$L,0)),"")</f>
        <v/>
      </c>
      <c r="AP20" s="43" t="str">
        <f t="shared" si="20"/>
        <v/>
      </c>
    </row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  <row r="35" hidden="1"/>
    <row r="36" hidden="1"/>
    <row r="37" hidden="1"/>
    <row r="38" hidden="1"/>
    <row r="39" hidden="1"/>
    <row r="40" hidden="1"/>
    <row r="41" hidden="1"/>
    <row r="42" hidden="1"/>
    <row r="43" hidden="1"/>
    <row r="44" hidden="1"/>
    <row r="45" hidden="1"/>
    <row r="46" hidden="1"/>
    <row r="47" hidden="1"/>
    <row r="48" hidden="1"/>
    <row r="49" hidden="1"/>
    <row r="50" hidden="1"/>
    <row r="51" hidden="1"/>
    <row r="52" hidden="1"/>
    <row r="53" hidden="1"/>
    <row r="54" hidden="1"/>
    <row r="55" hidden="1"/>
    <row r="56" hidden="1"/>
    <row r="57" hidden="1"/>
    <row r="58" hidden="1"/>
    <row r="59" hidden="1"/>
    <row r="60" hidden="1"/>
    <row r="61" hidden="1"/>
    <row r="62" hidden="1"/>
    <row r="63" hidden="1"/>
    <row r="64" hidden="1"/>
    <row r="65" hidden="1"/>
    <row r="66" hidden="1"/>
    <row r="67" hidden="1"/>
    <row r="68" hidden="1"/>
    <row r="69" hidden="1"/>
    <row r="70" hidden="1"/>
    <row r="71" hidden="1"/>
    <row r="72" hidden="1"/>
    <row r="73" hidden="1"/>
    <row r="74" hidden="1"/>
    <row r="75" hidden="1"/>
    <row r="76" hidden="1"/>
    <row r="77" hidden="1"/>
    <row r="78" hidden="1"/>
    <row r="79" hidden="1"/>
    <row r="80" hidden="1"/>
    <row r="81" hidden="1"/>
    <row r="82" hidden="1"/>
    <row r="83" hidden="1"/>
    <row r="84" hidden="1"/>
    <row r="85" hidden="1"/>
    <row r="86" hidden="1"/>
    <row r="87" hidden="1"/>
    <row r="88" hidden="1"/>
    <row r="89" hidden="1"/>
    <row r="90" hidden="1"/>
    <row r="91" hidden="1"/>
    <row r="92" hidden="1"/>
    <row r="93" hidden="1"/>
    <row r="94" hidden="1"/>
    <row r="95" hidden="1"/>
    <row r="96" hidden="1"/>
    <row r="97" hidden="1"/>
    <row r="98" hidden="1"/>
    <row r="99" hidden="1"/>
    <row r="100" hidden="1"/>
    <row r="101" hidden="1"/>
    <row r="102" hidden="1"/>
    <row r="103" hidden="1"/>
    <row r="104" hidden="1"/>
    <row r="105" hidden="1"/>
    <row r="106" hidden="1"/>
    <row r="107" hidden="1"/>
    <row r="108" hidden="1"/>
    <row r="109" hidden="1"/>
    <row r="110" hidden="1"/>
    <row r="111" hidden="1"/>
    <row r="112" hidden="1"/>
    <row r="113" hidden="1"/>
    <row r="114" hidden="1"/>
    <row r="115" hidden="1"/>
    <row r="116" hidden="1"/>
    <row r="117" hidden="1"/>
    <row r="118" hidden="1"/>
    <row r="119" hidden="1"/>
    <row r="120" hidden="1"/>
    <row r="121" hidden="1"/>
    <row r="122" hidden="1"/>
    <row r="123" hidden="1"/>
    <row r="124" hidden="1"/>
    <row r="125" hidden="1"/>
    <row r="126" hidden="1"/>
    <row r="127" hidden="1"/>
    <row r="128" hidden="1"/>
    <row r="129" hidden="1"/>
    <row r="130" hidden="1"/>
    <row r="131" hidden="1"/>
    <row r="132" hidden="1"/>
    <row r="133" hidden="1"/>
    <row r="134" hidden="1"/>
    <row r="135" hidden="1"/>
    <row r="136" hidden="1"/>
    <row r="137" hidden="1"/>
    <row r="138" hidden="1"/>
    <row r="139" hidden="1"/>
    <row r="140" hidden="1"/>
    <row r="141" hidden="1"/>
    <row r="142" hidden="1"/>
    <row r="143" hidden="1"/>
    <row r="144" hidden="1"/>
    <row r="145" hidden="1"/>
    <row r="146" hidden="1"/>
    <row r="147" hidden="1"/>
    <row r="148" hidden="1"/>
    <row r="149" hidden="1"/>
    <row r="150" hidden="1"/>
    <row r="151" hidden="1"/>
    <row r="152" hidden="1"/>
    <row r="153" hidden="1"/>
    <row r="154" hidden="1"/>
    <row r="155" hidden="1"/>
    <row r="156" hidden="1"/>
    <row r="157" hidden="1"/>
    <row r="158" hidden="1"/>
    <row r="159" hidden="1"/>
    <row r="160" hidden="1"/>
    <row r="161" hidden="1"/>
    <row r="162" hidden="1"/>
    <row r="163" hidden="1"/>
    <row r="164" hidden="1"/>
    <row r="165" hidden="1"/>
    <row r="166" hidden="1"/>
    <row r="167" hidden="1"/>
    <row r="168" hidden="1"/>
    <row r="169" hidden="1"/>
    <row r="170" hidden="1"/>
    <row r="171" hidden="1"/>
    <row r="172" hidden="1"/>
    <row r="173" hidden="1"/>
    <row r="174" hidden="1"/>
    <row r="175" hidden="1"/>
    <row r="176" hidden="1"/>
    <row r="177" hidden="1"/>
    <row r="178" hidden="1"/>
    <row r="179" hidden="1"/>
    <row r="180" hidden="1"/>
    <row r="181" hidden="1"/>
    <row r="182" hidden="1"/>
    <row r="183" hidden="1"/>
    <row r="184" hidden="1"/>
    <row r="185" hidden="1"/>
    <row r="186" hidden="1"/>
    <row r="187" hidden="1"/>
    <row r="188" hidden="1"/>
    <row r="189" hidden="1"/>
    <row r="190" hidden="1"/>
    <row r="191" hidden="1"/>
    <row r="192" hidden="1"/>
    <row r="193" hidden="1"/>
    <row r="194" hidden="1"/>
    <row r="195" hidden="1"/>
    <row r="196" hidden="1"/>
    <row r="197" hidden="1"/>
    <row r="198" hidden="1"/>
    <row r="199" hidden="1"/>
    <row r="200" hidden="1"/>
    <row r="201" hidden="1"/>
    <row r="202" hidden="1"/>
    <row r="203" hidden="1"/>
    <row r="204" hidden="1"/>
    <row r="205" hidden="1"/>
    <row r="206" hidden="1"/>
    <row r="207" hidden="1"/>
    <row r="208" hidden="1"/>
    <row r="209" hidden="1"/>
    <row r="210" hidden="1"/>
    <row r="211" hidden="1"/>
    <row r="212" hidden="1"/>
    <row r="213" hidden="1"/>
    <row r="214" hidden="1"/>
    <row r="215" hidden="1"/>
    <row r="216" hidden="1"/>
    <row r="217" hidden="1"/>
    <row r="218" hidden="1"/>
    <row r="219" hidden="1"/>
    <row r="220" hidden="1"/>
    <row r="221" hidden="1"/>
    <row r="222" hidden="1"/>
    <row r="223" hidden="1"/>
    <row r="224" hidden="1"/>
    <row r="225" hidden="1"/>
    <row r="226" hidden="1"/>
    <row r="227" hidden="1"/>
    <row r="228" hidden="1"/>
    <row r="229" hidden="1"/>
    <row r="230" hidden="1"/>
    <row r="231" hidden="1"/>
    <row r="232" hidden="1"/>
    <row r="233" hidden="1"/>
    <row r="234" hidden="1"/>
    <row r="235" hidden="1"/>
    <row r="236" hidden="1"/>
    <row r="237" hidden="1"/>
    <row r="238" hidden="1"/>
    <row r="239" hidden="1"/>
    <row r="240" hidden="1"/>
    <row r="241" hidden="1"/>
    <row r="242" hidden="1"/>
    <row r="243" hidden="1"/>
    <row r="244" hidden="1"/>
    <row r="245" hidden="1"/>
    <row r="246" hidden="1"/>
    <row r="247" hidden="1"/>
    <row r="248" hidden="1"/>
    <row r="249" hidden="1"/>
    <row r="250" hidden="1"/>
    <row r="251" hidden="1"/>
    <row r="252" hidden="1"/>
    <row r="253" hidden="1"/>
    <row r="254" hidden="1"/>
    <row r="255" hidden="1"/>
    <row r="256" hidden="1"/>
    <row r="257" hidden="1"/>
    <row r="258" hidden="1"/>
    <row r="259" hidden="1"/>
    <row r="260" hidden="1"/>
    <row r="261" hidden="1"/>
    <row r="262" hidden="1"/>
    <row r="263" hidden="1"/>
    <row r="264" hidden="1"/>
    <row r="265" hidden="1"/>
    <row r="266" hidden="1"/>
    <row r="267" hidden="1"/>
    <row r="268" hidden="1"/>
    <row r="269" hidden="1"/>
    <row r="270" hidden="1"/>
    <row r="271" hidden="1"/>
    <row r="272" hidden="1"/>
    <row r="273" hidden="1"/>
    <row r="274" hidden="1"/>
    <row r="275" hidden="1"/>
    <row r="276" hidden="1"/>
    <row r="277" hidden="1"/>
    <row r="278" hidden="1"/>
    <row r="279" hidden="1"/>
    <row r="280" hidden="1"/>
    <row r="281" hidden="1"/>
    <row r="282" hidden="1"/>
    <row r="283" hidden="1"/>
    <row r="284" hidden="1"/>
    <row r="285" hidden="1"/>
    <row r="286" hidden="1"/>
    <row r="287" hidden="1"/>
    <row r="288" hidden="1"/>
    <row r="289" hidden="1"/>
    <row r="290" hidden="1"/>
    <row r="291" hidden="1"/>
    <row r="292" hidden="1"/>
    <row r="293" hidden="1"/>
    <row r="294" hidden="1"/>
    <row r="295" hidden="1"/>
    <row r="296" hidden="1"/>
    <row r="297" hidden="1"/>
    <row r="298" hidden="1"/>
    <row r="299" spans="1:6">
      <c r="A299" s="6"/>
      <c r="B299" s="6"/>
      <c r="C299" s="49" t="s">
        <v>368</v>
      </c>
      <c r="F299" s="50"/>
    </row>
    <row r="300" spans="1:6">
      <c r="A300" s="51">
        <v>1</v>
      </c>
      <c r="B300" s="52" t="str">
        <f>IFERROR(INDEX(B$1:B$95,MATCH(A300,A$1:A$95,0)),"")</f>
        <v>Henri Mitt, Vadim Tihhonjuk</v>
      </c>
      <c r="C300" s="53">
        <f t="shared" ref="C300:C308" si="21">LARGE(A300:A400,1)*2+2-A300*2</f>
        <v>28</v>
      </c>
      <c r="F300" s="50"/>
    </row>
    <row r="301" spans="1:6">
      <c r="A301" s="51">
        <v>2</v>
      </c>
      <c r="B301" s="52" t="str">
        <f>IFERROR(INDEX(B$1:B$95,MATCH(A301,A$1:A$95,0)),"")</f>
        <v>Meelis Luud, Sander Rose</v>
      </c>
      <c r="C301" s="53">
        <f t="shared" si="21"/>
        <v>26</v>
      </c>
      <c r="F301" s="50"/>
    </row>
    <row r="302" spans="1:6">
      <c r="A302" s="51">
        <v>3</v>
      </c>
      <c r="B302" s="52" t="str">
        <f>IFERROR(INDEX(B$1:B$95,MATCH(A302,A$1:A$95,0)),"")</f>
        <v>Oleg Rõndenkov, Sirje Maala</v>
      </c>
      <c r="C302" s="53">
        <f t="shared" si="21"/>
        <v>24</v>
      </c>
      <c r="F302" s="50"/>
    </row>
    <row r="303" spans="1:6">
      <c r="A303" s="51">
        <v>4</v>
      </c>
      <c r="B303" s="52" t="str">
        <f>IFERROR(INDEX(B$1:B$95,MATCH(A303,A$1:A$95,0)),"")</f>
        <v>Kristel Tihhonjuk, Tõnis Neiland</v>
      </c>
      <c r="C303" s="53">
        <f t="shared" si="21"/>
        <v>22</v>
      </c>
      <c r="F303" s="50"/>
    </row>
    <row r="304" spans="1:6">
      <c r="A304" s="51">
        <v>5</v>
      </c>
      <c r="B304" s="52" t="str">
        <f>IFERROR(INDEX(B$1:B$95,MATCH(A304,A$1:A$95,0)),"")</f>
        <v>Andres Veski, Svetlana Veski</v>
      </c>
      <c r="C304" s="53">
        <f t="shared" si="21"/>
        <v>20</v>
      </c>
      <c r="F304" s="50"/>
    </row>
    <row r="305" spans="1:6">
      <c r="A305" s="51">
        <v>6</v>
      </c>
      <c r="B305" s="52" t="str">
        <f>IFERROR(INDEX(B$1:B$95,MATCH(A305,A$1:A$95,0)),"")</f>
        <v>Marko Rooden, Melika Lehtla</v>
      </c>
      <c r="C305" s="53">
        <f t="shared" si="21"/>
        <v>18</v>
      </c>
      <c r="F305" s="50"/>
    </row>
    <row r="306" spans="1:6">
      <c r="A306" s="51">
        <v>7</v>
      </c>
      <c r="B306" s="52" t="str">
        <f>IFERROR(INDEX(B$1:B$95,MATCH(A306,A$1:A$95,0)),"")</f>
        <v>Andrei Grintšak, Jaan Sepp</v>
      </c>
      <c r="C306" s="53">
        <f t="shared" si="21"/>
        <v>16</v>
      </c>
      <c r="F306" s="50"/>
    </row>
    <row r="307" spans="1:6">
      <c r="A307" s="51">
        <v>8</v>
      </c>
      <c r="B307" s="52" t="str">
        <f>IFERROR(INDEX(B$1:B$95,MATCH(A307,A$1:A$95,0)),"")</f>
        <v>Kenneth Muusikus, Olav Türk</v>
      </c>
      <c r="C307" s="53">
        <f t="shared" si="21"/>
        <v>14</v>
      </c>
      <c r="F307" s="50"/>
    </row>
    <row r="308" spans="1:6">
      <c r="A308" s="51">
        <v>9</v>
      </c>
      <c r="B308" s="52" t="str">
        <f>IFERROR(INDEX(B$1:B$95,MATCH(A308,A$1:A$95,0)),"")</f>
        <v>Sander Aul, Väino Aul</v>
      </c>
      <c r="C308" s="53">
        <f t="shared" si="21"/>
        <v>12</v>
      </c>
      <c r="F308" s="50"/>
    </row>
    <row r="309" spans="1:3">
      <c r="A309" s="51">
        <v>10</v>
      </c>
      <c r="B309" s="52" t="str">
        <f t="shared" ref="B309:B315" si="22">IFERROR(INDEX(B$1:B$95,MATCH(A309,A$1:A$95,0)),"")</f>
        <v>Janek Tarto, Kaspar Mänd</v>
      </c>
      <c r="C309" s="53">
        <f t="shared" ref="C309:C315" si="23">LARGE(A309:A409,1)*2+2-A309*2</f>
        <v>10</v>
      </c>
    </row>
    <row r="310" spans="1:3">
      <c r="A310" s="51">
        <v>11</v>
      </c>
      <c r="B310" s="52" t="str">
        <f t="shared" si="22"/>
        <v>Ljudmila Varendi, Viktor Švarõgin</v>
      </c>
      <c r="C310" s="53">
        <f t="shared" si="23"/>
        <v>8</v>
      </c>
    </row>
    <row r="311" spans="1:3">
      <c r="A311" s="51">
        <v>12</v>
      </c>
      <c r="B311" s="52" t="str">
        <f t="shared" si="22"/>
        <v>Ivar Viljaste, Sirje Viljaste</v>
      </c>
      <c r="C311" s="53">
        <f t="shared" si="23"/>
        <v>6</v>
      </c>
    </row>
    <row r="312" spans="1:3">
      <c r="A312" s="51">
        <v>13</v>
      </c>
      <c r="B312" s="52" t="str">
        <f t="shared" si="22"/>
        <v>Aleksander Korikov, Toomas Tedrekull</v>
      </c>
      <c r="C312" s="53">
        <f t="shared" si="23"/>
        <v>4</v>
      </c>
    </row>
    <row r="313" spans="1:3">
      <c r="A313" s="51">
        <v>14</v>
      </c>
      <c r="B313" s="52" t="str">
        <f t="shared" si="22"/>
        <v>Johannes Neiland, Urmas Randlaine</v>
      </c>
      <c r="C313" s="53">
        <f t="shared" si="23"/>
        <v>2</v>
      </c>
    </row>
  </sheetData>
  <conditionalFormatting sqref="A7:A20">
    <cfRule type="duplicateValues" dxfId="17" priority="33"/>
  </conditionalFormatting>
  <conditionalFormatting sqref="B300:B313">
    <cfRule type="duplicateValues" dxfId="8" priority="43"/>
    <cfRule type="containsBlanks" dxfId="19" priority="42">
      <formula>LEN(TRIM(B300))=0</formula>
    </cfRule>
    <cfRule type="expression" dxfId="18" priority="41">
      <formula>A300=1</formula>
    </cfRule>
    <cfRule type="expression" dxfId="4" priority="40">
      <formula>A300=2</formula>
    </cfRule>
    <cfRule type="expression" dxfId="3" priority="39">
      <formula>A300=3</formula>
    </cfRule>
  </conditionalFormatting>
  <conditionalFormatting sqref="C7:C20">
    <cfRule type="expression" dxfId="20" priority="15">
      <formula>IF($C7&gt;$E7,TRUE)</formula>
    </cfRule>
  </conditionalFormatting>
  <conditionalFormatting sqref="E7:E20">
    <cfRule type="expression" dxfId="20" priority="16">
      <formula>IF($C7&lt;$E7,TRUE)</formula>
    </cfRule>
  </conditionalFormatting>
  <conditionalFormatting sqref="F7:F20">
    <cfRule type="containsText" dxfId="21" priority="6" operator="between" text="vaba voor">
      <formula>NOT(ISERROR(SEARCH("vaba voor",F7)))</formula>
    </cfRule>
  </conditionalFormatting>
  <conditionalFormatting sqref="G7:G20">
    <cfRule type="expression" dxfId="20" priority="19">
      <formula>IF($G7&gt;$I7,TRUE)</formula>
    </cfRule>
  </conditionalFormatting>
  <conditionalFormatting sqref="I7:I20">
    <cfRule type="expression" dxfId="20" priority="20">
      <formula>IF($G7&lt;$I7,TRUE)</formula>
    </cfRule>
  </conditionalFormatting>
  <conditionalFormatting sqref="J7:J20">
    <cfRule type="containsText" dxfId="21" priority="5" operator="between" text="vaba voor">
      <formula>NOT(ISERROR(SEARCH("vaba voor",J7)))</formula>
    </cfRule>
  </conditionalFormatting>
  <conditionalFormatting sqref="K7:K20">
    <cfRule type="expression" dxfId="20" priority="23">
      <formula>IF($K7&gt;$M7,TRUE)</formula>
    </cfRule>
  </conditionalFormatting>
  <conditionalFormatting sqref="M7:M20">
    <cfRule type="expression" dxfId="20" priority="24">
      <formula>IF($K7&lt;$M7,TRUE)</formula>
    </cfRule>
  </conditionalFormatting>
  <conditionalFormatting sqref="N7:N20">
    <cfRule type="containsText" dxfId="21" priority="4" operator="between" text="vaba voor">
      <formula>NOT(ISERROR(SEARCH("vaba voor",N7)))</formula>
    </cfRule>
  </conditionalFormatting>
  <conditionalFormatting sqref="O7:O20">
    <cfRule type="expression" dxfId="20" priority="27">
      <formula>IF($O7&gt;$Q7,TRUE)</formula>
    </cfRule>
  </conditionalFormatting>
  <conditionalFormatting sqref="Q7:Q20">
    <cfRule type="expression" dxfId="20" priority="28">
      <formula>IF($O7&lt;$Q7,TRUE)</formula>
    </cfRule>
  </conditionalFormatting>
  <conditionalFormatting sqref="R7:R20">
    <cfRule type="containsText" dxfId="21" priority="7" operator="between" text="vaba voor">
      <formula>NOT(ISERROR(SEARCH("vaba voor",R7)))</formula>
    </cfRule>
  </conditionalFormatting>
  <conditionalFormatting sqref="S7:S20">
    <cfRule type="expression" dxfId="20" priority="31">
      <formula>IF($S7&gt;$U7,TRUE)</formula>
    </cfRule>
  </conditionalFormatting>
  <conditionalFormatting sqref="U7:U20">
    <cfRule type="expression" dxfId="20" priority="32">
      <formula>IF($S7&lt;$U7,TRUE)</formula>
    </cfRule>
  </conditionalFormatting>
  <conditionalFormatting sqref="V7:V20">
    <cfRule type="containsText" dxfId="21" priority="3" operator="between" text="vaba voor">
      <formula>NOT(ISERROR(SEARCH("vaba voor",V7)))</formula>
    </cfRule>
  </conditionalFormatting>
  <conditionalFormatting sqref="AF7:AF20">
    <cfRule type="expression" dxfId="22" priority="37">
      <formula>AND(AE7="",COUNTIF(AF7,"*,*")=0)</formula>
    </cfRule>
  </conditionalFormatting>
  <conditionalFormatting sqref="C7:F20">
    <cfRule type="expression" dxfId="23" priority="14">
      <formula>IF($C7&lt;$E7,TRUE)</formula>
    </cfRule>
    <cfRule type="expression" dxfId="7" priority="13">
      <formula>IF($C7&gt;$E7,TRUE)</formula>
    </cfRule>
    <cfRule type="expression" dxfId="5" priority="11">
      <formula>IF(AND(ISNUMBER($C7),$C7=$E7),TRUE)</formula>
    </cfRule>
  </conditionalFormatting>
  <conditionalFormatting sqref="C7:C20;G7:G20;K7:K20;O7:O20;S7:S20">
    <cfRule type="expression" dxfId="24" priority="1">
      <formula>AND(C7=0,E7=13)</formula>
    </cfRule>
  </conditionalFormatting>
  <conditionalFormatting sqref="E7:E20;I7:I20;M7:M20;Q7:Q20;U7:U20">
    <cfRule type="expression" dxfId="24" priority="2">
      <formula>AND(E7=0,C7=13)</formula>
    </cfRule>
  </conditionalFormatting>
  <conditionalFormatting sqref="G7:J20">
    <cfRule type="expression" dxfId="23" priority="18">
      <formula>IF($G7&lt;$I7,TRUE)</formula>
    </cfRule>
    <cfRule type="expression" dxfId="7" priority="17">
      <formula>IF($G7&gt;$I7,TRUE)</formula>
    </cfRule>
    <cfRule type="expression" dxfId="5" priority="12">
      <formula>IF(AND(ISNUMBER($G7),$G7=$I7),TRUE)</formula>
    </cfRule>
  </conditionalFormatting>
  <conditionalFormatting sqref="K7:N20">
    <cfRule type="expression" dxfId="23" priority="22">
      <formula>IF($K7&lt;$M7,TRUE)</formula>
    </cfRule>
    <cfRule type="expression" dxfId="7" priority="21">
      <formula>IF($K7&gt;$M7,TRUE)</formula>
    </cfRule>
    <cfRule type="expression" dxfId="5" priority="10">
      <formula>IF(AND(ISNUMBER($K7),$K7=$M7),TRUE)</formula>
    </cfRule>
  </conditionalFormatting>
  <conditionalFormatting sqref="O7:R20">
    <cfRule type="expression" dxfId="23" priority="26">
      <formula>IF($O7&lt;$Q7,TRUE)</formula>
    </cfRule>
    <cfRule type="expression" dxfId="7" priority="25">
      <formula>IF($O7&gt;$Q7,TRUE)</formula>
    </cfRule>
    <cfRule type="expression" dxfId="5" priority="9">
      <formula>IF(AND(ISNUMBER($O7),$O7=$Q7),TRUE)</formula>
    </cfRule>
  </conditionalFormatting>
  <conditionalFormatting sqref="S7:V20">
    <cfRule type="expression" dxfId="23" priority="30">
      <formula>IF($S7&lt;$U7,TRUE)</formula>
    </cfRule>
    <cfRule type="expression" dxfId="7" priority="29">
      <formula>IF($S7&gt;$U7,TRUE)</formula>
    </cfRule>
    <cfRule type="expression" dxfId="5" priority="8">
      <formula>IF(AND(ISNUMBER($S7),$S7=$U7),TRUE)</formula>
    </cfRule>
  </conditionalFormatting>
  <conditionalFormatting sqref="AJ7:AJ20;AH7:AH20;AL7:AL20">
    <cfRule type="expression" dxfId="22" priority="38">
      <formula>AND(AG7="",COUNTIF(AH7,"*,*")=0)</formula>
    </cfRule>
    <cfRule type="expression" dxfId="25" priority="36">
      <formula>AND(AG7="",FIND(",",AH7))</formula>
    </cfRule>
  </conditionalFormatting>
  <conditionalFormatting sqref="AN7:AN20;AP7:AP20">
    <cfRule type="expression" dxfId="25" priority="35">
      <formula>AND(AM7="",FIND(",",AN7))</formula>
    </cfRule>
    <cfRule type="expression" dxfId="22" priority="34">
      <formula>AND(AM7="",COUNTIF(AN7,"*,*")=0)</formula>
    </cfRule>
  </conditionalFormatting>
  <pageMargins left="0.393700787401575" right="0.393700787401575" top="0.78740157480315" bottom="0.393700787401575" header="0.78740157480315" footer="0"/>
  <pageSetup paperSize="9" fitToHeight="0" orientation="landscape" verticalDpi="1200"/>
  <headerFooter>
    <oddHeader>&amp;R&amp;P. leht &amp;N&amp; -st</oddHeader>
  </headerFooter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CCFFCC"/>
    <pageSetUpPr fitToPage="1"/>
  </sheetPr>
  <dimension ref="A1:AP312"/>
  <sheetViews>
    <sheetView showGridLines="0" showRowColHeaders="0" workbookViewId="0">
      <pane ySplit="1" topLeftCell="A2" activePane="bottomLeft" state="frozen"/>
      <selection/>
      <selection pane="bottomLeft" activeCell="A5" sqref="A5"/>
    </sheetView>
  </sheetViews>
  <sheetFormatPr defaultColWidth="9" defaultRowHeight="12.3"/>
  <cols>
    <col min="1" max="1" width="3.28828828828829" style="3" customWidth="1"/>
    <col min="2" max="2" width="29.8198198198198" style="3" customWidth="1"/>
    <col min="3" max="3" width="4.71171171171171" style="3" customWidth="1"/>
    <col min="4" max="4" width="1.14414414414414" style="3" customWidth="1"/>
    <col min="5" max="5" width="2.71171171171171" style="3" customWidth="1"/>
    <col min="6" max="6" width="9.14414414414414" style="3"/>
    <col min="7" max="7" width="2.71171171171171" style="3" customWidth="1"/>
    <col min="8" max="8" width="1.14414414414414" style="3" customWidth="1"/>
    <col min="9" max="9" width="2.71171171171171" style="3" customWidth="1"/>
    <col min="10" max="10" width="9.14414414414414" style="3"/>
    <col min="11" max="11" width="2.71171171171171" style="3" customWidth="1"/>
    <col min="12" max="12" width="1.14414414414414" style="3" customWidth="1"/>
    <col min="13" max="13" width="2.71171171171171" style="3" customWidth="1"/>
    <col min="14" max="14" width="9.14414414414414" style="3"/>
    <col min="15" max="15" width="2.71171171171171" style="3" customWidth="1"/>
    <col min="16" max="16" width="1.14414414414414" style="3" customWidth="1"/>
    <col min="17" max="17" width="2.71171171171171" style="3" customWidth="1"/>
    <col min="18" max="18" width="9.14414414414414" style="3"/>
    <col min="19" max="19" width="2.71171171171171" style="3" hidden="1" customWidth="1"/>
    <col min="20" max="20" width="1.14414414414414" style="3" hidden="1" customWidth="1"/>
    <col min="21" max="21" width="2.71171171171171" style="3" hidden="1" customWidth="1"/>
    <col min="22" max="22" width="9" style="3" hidden="1" customWidth="1"/>
    <col min="23" max="23" width="5.71171171171171" style="3" customWidth="1"/>
    <col min="24" max="24" width="5.56756756756757" style="3" customWidth="1"/>
    <col min="25" max="25" width="7.42342342342342" style="3" customWidth="1"/>
    <col min="26" max="26" width="2.71171171171171" style="3" customWidth="1"/>
    <col min="27" max="27" width="1.14414414414414" style="3" customWidth="1"/>
    <col min="28" max="28" width="2.71171171171171" style="3" customWidth="1"/>
    <col min="29" max="29" width="4.71171171171171" style="3" customWidth="1"/>
    <col min="30" max="31" width="9.14414414414414" style="3" hidden="1" customWidth="1"/>
    <col min="32" max="32" width="16.7027027027027" style="3" hidden="1" customWidth="1"/>
    <col min="33" max="33" width="9.14414414414414" style="3" hidden="1" customWidth="1"/>
    <col min="34" max="34" width="15.6126126126126" style="3" hidden="1" customWidth="1"/>
    <col min="35" max="35" width="9.14414414414414" style="3" hidden="1" customWidth="1"/>
    <col min="36" max="36" width="17.2882882882883" style="3" hidden="1" customWidth="1"/>
    <col min="37" max="37" width="9.14414414414414" style="3" hidden="1" customWidth="1"/>
    <col min="38" max="38" width="13.8558558558559" style="3" hidden="1" customWidth="1"/>
    <col min="39" max="39" width="9.14414414414414" style="3" hidden="1" customWidth="1"/>
    <col min="40" max="40" width="17.2882882882883" style="3" hidden="1" customWidth="1"/>
    <col min="41" max="41" width="9.14414414414414" style="3" hidden="1" customWidth="1"/>
    <col min="42" max="42" width="13.8558558558559" style="3" hidden="1" customWidth="1"/>
    <col min="43" max="16384" width="9.14414414414414" style="3"/>
  </cols>
  <sheetData>
    <row r="1" spans="1:42">
      <c r="A1" s="4" t="str">
        <f>UPPER((Kalend!E25)&amp;" - "&amp;(Kalend!C25))&amp;" - "&amp;LOWER(Kalend!D25)&amp;" - "&amp;(Kalend!A25)&amp;" kell "&amp;(Kalend!B25)&amp;" - "&amp;(Kalend!F25)</f>
        <v>V8 - VOKA XI KV 8. ETAPP - duo - T, 06.08.2024 kell 18:00 - Voka staadion</v>
      </c>
      <c r="O1" s="6"/>
      <c r="P1" s="6"/>
      <c r="Q1" s="20"/>
      <c r="R1" s="20"/>
      <c r="S1" s="20"/>
      <c r="T1" s="21"/>
      <c r="U1" s="21"/>
      <c r="V1" s="21"/>
      <c r="W1" s="6"/>
      <c r="X1" s="22"/>
      <c r="Y1" s="6"/>
      <c r="Z1" s="6"/>
      <c r="AD1" s="30" t="s">
        <v>149</v>
      </c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47"/>
      <c r="AP1" s="47"/>
    </row>
    <row r="2" spans="1:40">
      <c r="A2" s="5"/>
      <c r="F2" s="6"/>
      <c r="L2" s="19"/>
      <c r="M2" s="19"/>
      <c r="N2" s="19"/>
      <c r="O2" s="6"/>
      <c r="P2" s="6"/>
      <c r="Q2" s="6"/>
      <c r="R2" s="23" t="s">
        <v>322</v>
      </c>
      <c r="S2" s="6"/>
      <c r="T2" s="19"/>
      <c r="U2" s="19"/>
      <c r="V2" s="19"/>
      <c r="W2" s="24">
        <v>1</v>
      </c>
      <c r="X2" s="6" t="s">
        <v>323</v>
      </c>
      <c r="Y2" s="6"/>
      <c r="Z2" s="6"/>
      <c r="AA2" s="6"/>
      <c r="AB2" s="6"/>
      <c r="AE2" s="6"/>
      <c r="AG2" s="6"/>
      <c r="AH2" s="6"/>
      <c r="AI2" s="6"/>
      <c r="AJ2" s="6"/>
      <c r="AK2" s="6"/>
      <c r="AL2" s="6"/>
      <c r="AM2" s="6"/>
      <c r="AN2" s="6"/>
    </row>
    <row r="3" spans="1:42">
      <c r="A3" s="5"/>
      <c r="F3" s="6"/>
      <c r="L3" s="6"/>
      <c r="M3" s="6"/>
      <c r="N3" s="6"/>
      <c r="O3" s="6"/>
      <c r="P3" s="6"/>
      <c r="Q3" s="6"/>
      <c r="R3" s="25" t="s">
        <v>324</v>
      </c>
      <c r="S3" s="6"/>
      <c r="T3" s="6"/>
      <c r="U3" s="6"/>
      <c r="V3" s="6"/>
      <c r="W3" s="24">
        <v>0.5</v>
      </c>
      <c r="X3" s="6" t="s">
        <v>325</v>
      </c>
      <c r="Y3" s="6"/>
      <c r="Z3" s="6"/>
      <c r="AA3" s="6"/>
      <c r="AB3" s="6"/>
      <c r="AE3" s="19"/>
      <c r="AF3" s="19"/>
      <c r="AG3" s="19"/>
      <c r="AH3" s="44"/>
      <c r="AI3" s="19"/>
      <c r="AJ3" s="19"/>
      <c r="AK3" s="19"/>
      <c r="AL3" s="19"/>
      <c r="AM3" s="19"/>
      <c r="AN3" s="19"/>
      <c r="AO3" s="19"/>
      <c r="AP3" s="19"/>
    </row>
    <row r="4" spans="6:28">
      <c r="F4" s="6"/>
      <c r="L4" s="6"/>
      <c r="M4" s="6"/>
      <c r="N4" s="6"/>
      <c r="O4" s="6"/>
      <c r="P4" s="6"/>
      <c r="Q4" s="6"/>
      <c r="R4" s="26" t="s">
        <v>326</v>
      </c>
      <c r="S4" s="6"/>
      <c r="T4" s="6"/>
      <c r="U4" s="6"/>
      <c r="V4" s="6"/>
      <c r="W4" s="24">
        <v>0</v>
      </c>
      <c r="X4" s="6" t="s">
        <v>325</v>
      </c>
      <c r="Y4" s="6"/>
      <c r="Z4" s="6"/>
      <c r="AA4" s="6"/>
      <c r="AB4" s="6"/>
    </row>
    <row r="5" spans="6:30">
      <c r="F5" s="6"/>
      <c r="L5" s="6"/>
      <c r="M5" s="6"/>
      <c r="N5" s="6"/>
      <c r="O5" s="6"/>
      <c r="P5" s="6"/>
      <c r="Q5" s="6"/>
      <c r="R5" s="6"/>
      <c r="S5" s="6"/>
      <c r="T5" s="6"/>
      <c r="U5" s="6"/>
      <c r="W5" s="6"/>
      <c r="X5" s="6"/>
      <c r="Y5" s="6"/>
      <c r="Z5" s="6"/>
      <c r="AA5" s="6"/>
      <c r="AB5" s="32" t="s">
        <v>327</v>
      </c>
      <c r="AD5" s="33" t="s">
        <v>328</v>
      </c>
    </row>
    <row r="6" spans="1:42">
      <c r="A6" s="7" t="s">
        <v>329</v>
      </c>
      <c r="B6" s="7" t="s">
        <v>180</v>
      </c>
      <c r="C6" s="8" t="s">
        <v>330</v>
      </c>
      <c r="D6" s="9"/>
      <c r="E6" s="9"/>
      <c r="F6" s="10"/>
      <c r="G6" s="8" t="s">
        <v>331</v>
      </c>
      <c r="H6" s="9"/>
      <c r="I6" s="9"/>
      <c r="J6" s="10"/>
      <c r="K6" s="8" t="s">
        <v>332</v>
      </c>
      <c r="L6" s="9"/>
      <c r="M6" s="9"/>
      <c r="N6" s="10"/>
      <c r="O6" s="8" t="s">
        <v>333</v>
      </c>
      <c r="P6" s="9"/>
      <c r="Q6" s="9"/>
      <c r="R6" s="10"/>
      <c r="S6" s="8" t="s">
        <v>334</v>
      </c>
      <c r="T6" s="9"/>
      <c r="U6" s="9"/>
      <c r="V6" s="10"/>
      <c r="W6" s="7" t="s">
        <v>162</v>
      </c>
      <c r="X6" s="27" t="s">
        <v>335</v>
      </c>
      <c r="Y6" s="7" t="s">
        <v>336</v>
      </c>
      <c r="Z6" s="27"/>
      <c r="AA6" s="34" t="s">
        <v>337</v>
      </c>
      <c r="AB6" s="35"/>
      <c r="AC6" s="36" t="s">
        <v>338</v>
      </c>
      <c r="AD6" s="37" t="s">
        <v>168</v>
      </c>
      <c r="AE6" s="38"/>
      <c r="AF6" s="38" t="s">
        <v>339</v>
      </c>
      <c r="AG6" s="38"/>
      <c r="AH6" s="45" t="s">
        <v>340</v>
      </c>
      <c r="AI6" s="38"/>
      <c r="AJ6" s="38" t="s">
        <v>341</v>
      </c>
      <c r="AK6" s="46"/>
      <c r="AL6" s="38" t="s">
        <v>342</v>
      </c>
      <c r="AM6" s="46"/>
      <c r="AN6" s="46" t="s">
        <v>343</v>
      </c>
      <c r="AO6" s="48"/>
      <c r="AP6" s="46" t="s">
        <v>344</v>
      </c>
    </row>
    <row r="7" spans="1:42">
      <c r="A7" s="11">
        <v>1</v>
      </c>
      <c r="B7" s="12" t="s">
        <v>438</v>
      </c>
      <c r="C7" s="13">
        <v>13</v>
      </c>
      <c r="D7" s="14" t="s">
        <v>346</v>
      </c>
      <c r="E7" s="14">
        <v>5</v>
      </c>
      <c r="F7" s="15" t="s">
        <v>439</v>
      </c>
      <c r="G7" s="13">
        <v>13</v>
      </c>
      <c r="H7" s="14" t="s">
        <v>346</v>
      </c>
      <c r="I7" s="14">
        <v>12</v>
      </c>
      <c r="J7" s="15" t="s">
        <v>440</v>
      </c>
      <c r="K7" s="13">
        <v>13</v>
      </c>
      <c r="L7" s="14" t="s">
        <v>346</v>
      </c>
      <c r="M7" s="14">
        <v>4</v>
      </c>
      <c r="N7" s="15" t="s">
        <v>360</v>
      </c>
      <c r="O7" s="13">
        <v>13</v>
      </c>
      <c r="P7" s="14" t="s">
        <v>346</v>
      </c>
      <c r="Q7" s="14">
        <v>2</v>
      </c>
      <c r="R7" s="15" t="s">
        <v>441</v>
      </c>
      <c r="S7" s="13"/>
      <c r="T7" s="14"/>
      <c r="U7" s="14"/>
      <c r="V7" s="15"/>
      <c r="W7" s="28">
        <f>IF(C7&gt;E7,W$2,IF(C7&lt;E7,W$4,IF(ISNUMBER(C7),W$3,0)))+IF(G7&gt;I7,W$2,IF(G7&lt;I7,W$4,IF(ISNUMBER(G7),W$3,0)))+IF(K7&gt;M7,W$2,IF(K7&lt;M7,W$4,IF(ISNUMBER(K7),W$3,0)))+IF(O7&gt;Q7,W$2,IF(O7&lt;Q7,W$4,IF(ISNUMBER(O7),W$3,0)))+IF(S7&gt;U7,W$2,IF(S7&lt;U7,W$4,IF(ISNUMBER(S7),W$3,0)))</f>
        <v>4</v>
      </c>
      <c r="X7" s="29">
        <v>14</v>
      </c>
      <c r="Y7" s="29">
        <v>80</v>
      </c>
      <c r="Z7" s="13">
        <f t="shared" ref="Z7:Z15" si="0">C7+G7+K7+O7+S7</f>
        <v>52</v>
      </c>
      <c r="AA7" s="14" t="s">
        <v>346</v>
      </c>
      <c r="AB7" s="39">
        <f t="shared" ref="AB7:AB15" si="1">E7+I7+M7+Q7+U7</f>
        <v>23</v>
      </c>
      <c r="AC7" s="40">
        <f t="shared" ref="AC7:AC15" si="2">Z7-AB7</f>
        <v>29</v>
      </c>
      <c r="AD7" s="41">
        <f t="shared" ref="AD7:AD15" si="3">SUM(AE7:AL7)</f>
        <v>314</v>
      </c>
      <c r="AE7" s="42">
        <f>IFERROR(INDEX(V!$R:$R,MATCH(AF7,V!$L:$L,0)),"")</f>
        <v>144</v>
      </c>
      <c r="AF7" s="43" t="str">
        <f t="shared" ref="AF7:AF15" si="4">IFERROR(LEFT($B7,(FIND(",",$B7,1)-1)),"")</f>
        <v>Oleg Rõndenkov</v>
      </c>
      <c r="AG7" s="42">
        <f>IFERROR(INDEX(V!$R:$R,MATCH(AH7,V!$L:$L,0)),"")</f>
        <v>170</v>
      </c>
      <c r="AH7" s="43" t="str">
        <f t="shared" ref="AH7:AH15" si="5">IFERROR(MID($B7,FIND(", ",$B7)+2,256),"")</f>
        <v>Tõnis Neiland</v>
      </c>
      <c r="AI7" s="42" t="str">
        <f>IFERROR(INDEX(V!$R:$R,MATCH(AJ7,V!$L:$L,0)),"")</f>
        <v/>
      </c>
      <c r="AJ7" s="43" t="str">
        <f t="shared" ref="AJ7:AJ15" si="6">IFERROR(MID($B7,FIND("^",SUBSTITUTE($B7,", ","^",1))+2,FIND("^",SUBSTITUTE($B7,", ","^",2))-FIND("^",SUBSTITUTE($B7,", ","^",1))-2),"")</f>
        <v/>
      </c>
      <c r="AK7" s="42" t="str">
        <f>IFERROR(INDEX(V!$R:$R,MATCH(AL7,V!$L:$L,0)),"")</f>
        <v/>
      </c>
      <c r="AL7" s="43" t="str">
        <f t="shared" ref="AL7:AL15" si="7">IFERROR(MID($B7,FIND(", ",$B7,FIND(", ",$B7,FIND(", ",$B7))+1)+2,30000),"")</f>
        <v/>
      </c>
      <c r="AM7" s="42" t="str">
        <f>IFERROR(INDEX(V!$R:$R,MATCH(AN7,V!$L:$L,0)),"")</f>
        <v/>
      </c>
      <c r="AN7" s="43" t="str">
        <f t="shared" ref="AN7:AN15" si="8">IFERROR(MID($B7,FIND(", ",$B7,FIND(", ",$B7)+1)+2,FIND(", ",$B7,FIND(", ",$B7,FIND(", ",$B7)+1)+1)-FIND(", ",$B7,FIND(", ",$B7)+1)-2),"")</f>
        <v/>
      </c>
      <c r="AO7" s="42" t="str">
        <f>IFERROR(INDEX(V!$R:$R,MATCH(AP7,V!$L:$L,0)),"")</f>
        <v/>
      </c>
      <c r="AP7" s="43" t="str">
        <f t="shared" ref="AP7:AP15" si="9">IFERROR(MID($B7,FIND(", ",$B7,FIND(", ",$B7,FIND(", ",$B7)+1)+1)+2,30000),"")</f>
        <v/>
      </c>
    </row>
    <row r="8" spans="1:42">
      <c r="A8" s="11">
        <v>2</v>
      </c>
      <c r="B8" s="16" t="s">
        <v>441</v>
      </c>
      <c r="C8" s="13">
        <v>13</v>
      </c>
      <c r="D8" s="14" t="s">
        <v>346</v>
      </c>
      <c r="E8" s="14">
        <v>3</v>
      </c>
      <c r="F8" s="15" t="s">
        <v>442</v>
      </c>
      <c r="G8" s="13">
        <v>13</v>
      </c>
      <c r="H8" s="14" t="s">
        <v>346</v>
      </c>
      <c r="I8" s="14">
        <v>7</v>
      </c>
      <c r="J8" s="15" t="s">
        <v>349</v>
      </c>
      <c r="K8" s="13">
        <v>13</v>
      </c>
      <c r="L8" s="14" t="s">
        <v>346</v>
      </c>
      <c r="M8" s="14">
        <v>10</v>
      </c>
      <c r="N8" s="15" t="s">
        <v>354</v>
      </c>
      <c r="O8" s="13">
        <v>2</v>
      </c>
      <c r="P8" s="14" t="s">
        <v>346</v>
      </c>
      <c r="Q8" s="14">
        <v>13</v>
      </c>
      <c r="R8" s="15" t="s">
        <v>438</v>
      </c>
      <c r="S8" s="13"/>
      <c r="T8" s="14"/>
      <c r="U8" s="14"/>
      <c r="V8" s="15"/>
      <c r="W8" s="28">
        <f>IF(C8&gt;E8,W$2,IF(C8&lt;E8,W$4,IF(ISNUMBER(C8),W$3,0)))+IF(G8&gt;I8,W$2,IF(G8&lt;I8,W$4,IF(ISNUMBER(G8),W$3,0)))+IF(K8&gt;M8,W$2,IF(K8&lt;M8,W$4,IF(ISNUMBER(K8),W$3,0)))+IF(O8&gt;Q8,W$2,IF(O8&lt;Q8,W$4,IF(ISNUMBER(O8),W$3,0)))+IF(S8&gt;U8,W$2,IF(S8&lt;U8,W$4,IF(ISNUMBER(S8),W$3,0)))</f>
        <v>3</v>
      </c>
      <c r="X8" s="29">
        <v>20</v>
      </c>
      <c r="Y8" s="29">
        <v>60</v>
      </c>
      <c r="Z8" s="13">
        <f t="shared" si="0"/>
        <v>41</v>
      </c>
      <c r="AA8" s="14" t="s">
        <v>346</v>
      </c>
      <c r="AB8" s="39">
        <f t="shared" si="1"/>
        <v>33</v>
      </c>
      <c r="AC8" s="40">
        <f t="shared" si="2"/>
        <v>8</v>
      </c>
      <c r="AD8" s="41">
        <f t="shared" si="3"/>
        <v>324</v>
      </c>
      <c r="AE8" s="42">
        <f>IFERROR(INDEX(V!$R:$R,MATCH(AF8,V!$L:$L,0)),"")</f>
        <v>148</v>
      </c>
      <c r="AF8" s="43" t="str">
        <f t="shared" si="4"/>
        <v>Olav Türk</v>
      </c>
      <c r="AG8" s="42">
        <f>IFERROR(INDEX(V!$R:$R,MATCH(AH8,V!$L:$L,0)),"")</f>
        <v>176</v>
      </c>
      <c r="AH8" s="43" t="str">
        <f t="shared" si="5"/>
        <v>Vadim Tihhonjuk</v>
      </c>
      <c r="AI8" s="42" t="str">
        <f>IFERROR(INDEX(V!$R:$R,MATCH(AJ8,V!$L:$L,0)),"")</f>
        <v/>
      </c>
      <c r="AJ8" s="43" t="str">
        <f t="shared" si="6"/>
        <v/>
      </c>
      <c r="AK8" s="42" t="str">
        <f>IFERROR(INDEX(V!$R:$R,MATCH(AL8,V!$L:$L,0)),"")</f>
        <v/>
      </c>
      <c r="AL8" s="43" t="str">
        <f t="shared" si="7"/>
        <v/>
      </c>
      <c r="AM8" s="42" t="str">
        <f>IFERROR(INDEX(V!$R:$R,MATCH(AN8,V!$L:$L,0)),"")</f>
        <v/>
      </c>
      <c r="AN8" s="43" t="str">
        <f t="shared" si="8"/>
        <v/>
      </c>
      <c r="AO8" s="42" t="str">
        <f>IFERROR(INDEX(V!$R:$R,MATCH(AP8,V!$L:$L,0)),"")</f>
        <v/>
      </c>
      <c r="AP8" s="43" t="str">
        <f t="shared" si="9"/>
        <v/>
      </c>
    </row>
    <row r="9" spans="1:42">
      <c r="A9" s="11">
        <v>3</v>
      </c>
      <c r="B9" s="17" t="s">
        <v>428</v>
      </c>
      <c r="C9" s="13">
        <v>12</v>
      </c>
      <c r="D9" s="14" t="s">
        <v>346</v>
      </c>
      <c r="E9" s="14">
        <v>7</v>
      </c>
      <c r="F9" s="15" t="s">
        <v>443</v>
      </c>
      <c r="G9" s="13">
        <v>8</v>
      </c>
      <c r="H9" s="14" t="s">
        <v>346</v>
      </c>
      <c r="I9" s="14">
        <v>13</v>
      </c>
      <c r="J9" s="15" t="s">
        <v>354</v>
      </c>
      <c r="K9" s="13">
        <v>12</v>
      </c>
      <c r="L9" s="14" t="s">
        <v>346</v>
      </c>
      <c r="M9" s="14">
        <v>6</v>
      </c>
      <c r="N9" s="15" t="s">
        <v>356</v>
      </c>
      <c r="O9" s="13">
        <v>11</v>
      </c>
      <c r="P9" s="14" t="s">
        <v>346</v>
      </c>
      <c r="Q9" s="14">
        <v>10</v>
      </c>
      <c r="R9" s="15" t="s">
        <v>444</v>
      </c>
      <c r="S9" s="13"/>
      <c r="T9" s="14"/>
      <c r="U9" s="14"/>
      <c r="V9" s="15"/>
      <c r="W9" s="28">
        <f>IF(C9&gt;E9,W$2,IF(C9&lt;E9,W$4,IF(ISNUMBER(C9),W$3,0)))+IF(G9&gt;I9,W$2,IF(G9&lt;I9,W$4,IF(ISNUMBER(G9),W$3,0)))+IF(K9&gt;M9,W$2,IF(K9&lt;M9,W$4,IF(ISNUMBER(K9),W$3,0)))+IF(O9&gt;Q9,W$2,IF(O9&lt;Q9,W$4,IF(ISNUMBER(O9),W$3,0)))+IF(S9&gt;U9,W$2,IF(S9&lt;U9,W$4,IF(ISNUMBER(S9),W$3,0)))</f>
        <v>3</v>
      </c>
      <c r="X9" s="29">
        <v>16</v>
      </c>
      <c r="Y9" s="29">
        <v>64</v>
      </c>
      <c r="Z9" s="13">
        <f t="shared" si="0"/>
        <v>43</v>
      </c>
      <c r="AA9" s="14" t="s">
        <v>346</v>
      </c>
      <c r="AB9" s="39">
        <f t="shared" si="1"/>
        <v>36</v>
      </c>
      <c r="AC9" s="40">
        <f t="shared" si="2"/>
        <v>7</v>
      </c>
      <c r="AD9" s="41">
        <f t="shared" si="3"/>
        <v>176</v>
      </c>
      <c r="AE9" s="42">
        <f>IFERROR(INDEX(V!$R:$R,MATCH(AF9,V!$L:$L,0)),"")</f>
        <v>74</v>
      </c>
      <c r="AF9" s="43" t="str">
        <f t="shared" si="4"/>
        <v>Aigi Orro</v>
      </c>
      <c r="AG9" s="42">
        <f>IFERROR(INDEX(V!$R:$R,MATCH(AH9,V!$L:$L,0)),"")</f>
        <v>102</v>
      </c>
      <c r="AH9" s="43" t="str">
        <f t="shared" si="5"/>
        <v>Elmo Lageda</v>
      </c>
      <c r="AI9" s="42" t="str">
        <f>IFERROR(INDEX(V!$R:$R,MATCH(AJ9,V!$L:$L,0)),"")</f>
        <v/>
      </c>
      <c r="AJ9" s="43" t="str">
        <f t="shared" si="6"/>
        <v/>
      </c>
      <c r="AK9" s="42" t="str">
        <f>IFERROR(INDEX(V!$R:$R,MATCH(AL9,V!$L:$L,0)),"")</f>
        <v/>
      </c>
      <c r="AL9" s="43" t="str">
        <f t="shared" si="7"/>
        <v/>
      </c>
      <c r="AM9" s="42" t="str">
        <f>IFERROR(INDEX(V!$R:$R,MATCH(AN9,V!$L:$L,0)),"")</f>
        <v/>
      </c>
      <c r="AN9" s="43" t="str">
        <f t="shared" si="8"/>
        <v/>
      </c>
      <c r="AO9" s="42" t="str">
        <f>IFERROR(INDEX(V!$R:$R,MATCH(AP9,V!$L:$L,0)),"")</f>
        <v/>
      </c>
      <c r="AP9" s="43" t="str">
        <f t="shared" si="9"/>
        <v/>
      </c>
    </row>
    <row r="10" spans="1:42">
      <c r="A10" s="11">
        <v>4</v>
      </c>
      <c r="B10" s="17" t="s">
        <v>349</v>
      </c>
      <c r="C10" s="13">
        <v>13</v>
      </c>
      <c r="D10" s="14" t="s">
        <v>346</v>
      </c>
      <c r="E10" s="14">
        <v>7</v>
      </c>
      <c r="F10" s="15" t="s">
        <v>367</v>
      </c>
      <c r="G10" s="13">
        <v>7</v>
      </c>
      <c r="H10" s="14" t="s">
        <v>346</v>
      </c>
      <c r="I10" s="14">
        <v>13</v>
      </c>
      <c r="J10" s="15" t="s">
        <v>441</v>
      </c>
      <c r="K10" s="13">
        <v>12</v>
      </c>
      <c r="L10" s="14" t="s">
        <v>346</v>
      </c>
      <c r="M10" s="14">
        <v>10</v>
      </c>
      <c r="N10" s="15" t="s">
        <v>440</v>
      </c>
      <c r="O10" s="13">
        <v>13</v>
      </c>
      <c r="P10" s="14" t="s">
        <v>346</v>
      </c>
      <c r="Q10" s="14">
        <v>8</v>
      </c>
      <c r="R10" s="15" t="s">
        <v>354</v>
      </c>
      <c r="S10" s="13"/>
      <c r="T10" s="14"/>
      <c r="U10" s="14"/>
      <c r="V10" s="15"/>
      <c r="W10" s="28">
        <f>IF(C10&gt;E10,W$2,IF(C10&lt;E10,W$4,IF(ISNUMBER(C10),W$3,0)))+IF(G10&gt;I10,W$2,IF(G10&lt;I10,W$4,IF(ISNUMBER(G10),W$3,0)))+IF(K10&gt;M10,W$2,IF(K10&lt;M10,W$4,IF(ISNUMBER(K10),W$3,0)))+IF(O10&gt;Q10,W$2,IF(O10&lt;Q10,W$4,IF(ISNUMBER(O10),W$3,0)))+IF(S10&gt;U10,W$2,IF(S10&lt;U10,W$4,IF(ISNUMBER(S10),W$3,0)))</f>
        <v>3</v>
      </c>
      <c r="X10" s="29">
        <v>12</v>
      </c>
      <c r="Y10" s="29">
        <v>62</v>
      </c>
      <c r="Z10" s="13">
        <f t="shared" si="0"/>
        <v>45</v>
      </c>
      <c r="AA10" s="14" t="s">
        <v>346</v>
      </c>
      <c r="AB10" s="39">
        <f t="shared" si="1"/>
        <v>38</v>
      </c>
      <c r="AC10" s="40">
        <f t="shared" si="2"/>
        <v>7</v>
      </c>
      <c r="AD10" s="41">
        <f t="shared" si="3"/>
        <v>186</v>
      </c>
      <c r="AE10" s="42">
        <f>IFERROR(INDEX(V!$R:$R,MATCH(AF10,V!$L:$L,0)),"")</f>
        <v>104</v>
      </c>
      <c r="AF10" s="43" t="str">
        <f t="shared" si="4"/>
        <v>Andres Veski</v>
      </c>
      <c r="AG10" s="42">
        <f>IFERROR(INDEX(V!$R:$R,MATCH(AH10,V!$L:$L,0)),"")</f>
        <v>82</v>
      </c>
      <c r="AH10" s="43" t="str">
        <f t="shared" si="5"/>
        <v>Svetlana Veski</v>
      </c>
      <c r="AI10" s="42" t="str">
        <f>IFERROR(INDEX(V!$R:$R,MATCH(AJ10,V!$L:$L,0)),"")</f>
        <v/>
      </c>
      <c r="AJ10" s="43" t="str">
        <f t="shared" si="6"/>
        <v/>
      </c>
      <c r="AK10" s="42" t="str">
        <f>IFERROR(INDEX(V!$R:$R,MATCH(AL10,V!$L:$L,0)),"")</f>
        <v/>
      </c>
      <c r="AL10" s="43" t="str">
        <f t="shared" si="7"/>
        <v/>
      </c>
      <c r="AM10" s="42" t="str">
        <f>IFERROR(INDEX(V!$R:$R,MATCH(AN10,V!$L:$L,0)),"")</f>
        <v/>
      </c>
      <c r="AN10" s="43" t="str">
        <f t="shared" si="8"/>
        <v/>
      </c>
      <c r="AO10" s="42" t="str">
        <f>IFERROR(INDEX(V!$R:$R,MATCH(AP10,V!$L:$L,0)),"")</f>
        <v/>
      </c>
      <c r="AP10" s="43" t="str">
        <f t="shared" si="9"/>
        <v/>
      </c>
    </row>
    <row r="11" spans="1:42">
      <c r="A11" s="11">
        <v>5</v>
      </c>
      <c r="B11" s="16" t="s">
        <v>354</v>
      </c>
      <c r="C11" s="13">
        <v>9</v>
      </c>
      <c r="D11" s="14" t="s">
        <v>346</v>
      </c>
      <c r="E11" s="14">
        <v>7</v>
      </c>
      <c r="F11" s="15" t="s">
        <v>360</v>
      </c>
      <c r="G11" s="13">
        <v>13</v>
      </c>
      <c r="H11" s="14" t="s">
        <v>346</v>
      </c>
      <c r="I11" s="14">
        <v>8</v>
      </c>
      <c r="J11" s="15" t="s">
        <v>428</v>
      </c>
      <c r="K11" s="13">
        <v>10</v>
      </c>
      <c r="L11" s="14" t="s">
        <v>346</v>
      </c>
      <c r="M11" s="14">
        <v>13</v>
      </c>
      <c r="N11" s="15" t="s">
        <v>441</v>
      </c>
      <c r="O11" s="13">
        <v>8</v>
      </c>
      <c r="P11" s="14" t="s">
        <v>346</v>
      </c>
      <c r="Q11" s="14">
        <v>13</v>
      </c>
      <c r="R11" s="15" t="s">
        <v>349</v>
      </c>
      <c r="S11" s="13"/>
      <c r="T11" s="14"/>
      <c r="U11" s="14"/>
      <c r="V11" s="15"/>
      <c r="W11" s="28">
        <f>IF(C11&gt;E11,W$2,IF(C11&lt;E11,W$4,IF(ISNUMBER(C11),W$3,0)))+IF(G11&gt;I11,W$2,IF(G11&lt;I11,W$4,IF(ISNUMBER(G11),W$3,0)))+IF(K11&gt;M11,W$2,IF(K11&lt;M11,W$4,IF(ISNUMBER(K11),W$3,0)))+IF(O11&gt;Q11,W$2,IF(O11&lt;Q11,W$4,IF(ISNUMBER(O11),W$3,0)))+IF(S11&gt;U11,W$2,IF(S11&lt;U11,W$4,IF(ISNUMBER(S11),W$3,0)))</f>
        <v>2</v>
      </c>
      <c r="X11" s="29">
        <v>20</v>
      </c>
      <c r="Y11" s="29">
        <v>68</v>
      </c>
      <c r="Z11" s="13">
        <f t="shared" si="0"/>
        <v>40</v>
      </c>
      <c r="AA11" s="14" t="s">
        <v>346</v>
      </c>
      <c r="AB11" s="39">
        <f t="shared" si="1"/>
        <v>41</v>
      </c>
      <c r="AC11" s="40">
        <f t="shared" si="2"/>
        <v>-1</v>
      </c>
      <c r="AD11" s="41">
        <f t="shared" si="3"/>
        <v>80</v>
      </c>
      <c r="AE11" s="42">
        <f>IFERROR(INDEX(V!$R:$R,MATCH(AF11,V!$L:$L,0)),"")</f>
        <v>30</v>
      </c>
      <c r="AF11" s="43" t="str">
        <f t="shared" si="4"/>
        <v>Lemmit Toomra</v>
      </c>
      <c r="AG11" s="42">
        <f>IFERROR(INDEX(V!$R:$R,MATCH(AH11,V!$L:$L,0)),"")</f>
        <v>50</v>
      </c>
      <c r="AH11" s="43" t="str">
        <f t="shared" si="5"/>
        <v>Tõnu Kapper</v>
      </c>
      <c r="AI11" s="42" t="str">
        <f>IFERROR(INDEX(V!$R:$R,MATCH(AJ11,V!$L:$L,0)),"")</f>
        <v/>
      </c>
      <c r="AJ11" s="43" t="str">
        <f t="shared" si="6"/>
        <v/>
      </c>
      <c r="AK11" s="42" t="str">
        <f>IFERROR(INDEX(V!$R:$R,MATCH(AL11,V!$L:$L,0)),"")</f>
        <v/>
      </c>
      <c r="AL11" s="43" t="str">
        <f t="shared" si="7"/>
        <v/>
      </c>
      <c r="AM11" s="42" t="str">
        <f>IFERROR(INDEX(V!$R:$R,MATCH(AN11,V!$L:$L,0)),"")</f>
        <v/>
      </c>
      <c r="AN11" s="43" t="str">
        <f t="shared" si="8"/>
        <v/>
      </c>
      <c r="AO11" s="42" t="str">
        <f>IFERROR(INDEX(V!$R:$R,MATCH(AP11,V!$L:$L,0)),"")</f>
        <v/>
      </c>
      <c r="AP11" s="43" t="str">
        <f t="shared" si="9"/>
        <v/>
      </c>
    </row>
    <row r="12" spans="1:42">
      <c r="A12" s="11">
        <v>6</v>
      </c>
      <c r="B12" s="17" t="s">
        <v>439</v>
      </c>
      <c r="C12" s="13">
        <v>5</v>
      </c>
      <c r="D12" s="14" t="s">
        <v>346</v>
      </c>
      <c r="E12" s="14">
        <v>13</v>
      </c>
      <c r="F12" s="15" t="s">
        <v>438</v>
      </c>
      <c r="G12" s="13">
        <v>9</v>
      </c>
      <c r="H12" s="14" t="s">
        <v>346</v>
      </c>
      <c r="I12" s="14">
        <v>10</v>
      </c>
      <c r="J12" s="15" t="s">
        <v>444</v>
      </c>
      <c r="K12" s="13">
        <v>13</v>
      </c>
      <c r="L12" s="14" t="s">
        <v>346</v>
      </c>
      <c r="M12" s="14">
        <v>4</v>
      </c>
      <c r="N12" s="15" t="s">
        <v>443</v>
      </c>
      <c r="O12" s="13">
        <v>13</v>
      </c>
      <c r="P12" s="14" t="s">
        <v>346</v>
      </c>
      <c r="Q12" s="14">
        <v>3</v>
      </c>
      <c r="R12" s="15" t="s">
        <v>360</v>
      </c>
      <c r="S12" s="13"/>
      <c r="T12" s="14"/>
      <c r="U12" s="14"/>
      <c r="V12" s="15"/>
      <c r="W12" s="28">
        <f>IF(C12&gt;E12,W$2,IF(C12&lt;E12,W$4,IF(ISNUMBER(C12),W$3,0)))+IF(G12&gt;I12,W$2,IF(G12&lt;I12,W$4,IF(ISNUMBER(G12),W$3,0)))+IF(K12&gt;M12,W$2,IF(K12&lt;M12,W$4,IF(ISNUMBER(K12),W$3,0)))+IF(O12&gt;Q12,W$2,IF(O12&lt;Q12,W$4,IF(ISNUMBER(O12),W$3,0)))+IF(S12&gt;U12,W$2,IF(S12&lt;U12,W$4,IF(ISNUMBER(S12),W$3,0)))</f>
        <v>2</v>
      </c>
      <c r="X12" s="29">
        <v>18</v>
      </c>
      <c r="Y12" s="29">
        <v>64</v>
      </c>
      <c r="Z12" s="13">
        <f t="shared" si="0"/>
        <v>40</v>
      </c>
      <c r="AA12" s="14" t="s">
        <v>346</v>
      </c>
      <c r="AB12" s="39">
        <f t="shared" si="1"/>
        <v>30</v>
      </c>
      <c r="AC12" s="40">
        <f t="shared" si="2"/>
        <v>10</v>
      </c>
      <c r="AD12" s="41">
        <f t="shared" si="3"/>
        <v>102</v>
      </c>
      <c r="AE12" s="42">
        <f>IFERROR(INDEX(V!$R:$R,MATCH(AF12,V!$L:$L,0)),"")</f>
        <v>86</v>
      </c>
      <c r="AF12" s="43" t="str">
        <f t="shared" si="4"/>
        <v>Kenneth Muusikus</v>
      </c>
      <c r="AG12" s="42">
        <f>IFERROR(INDEX(V!$R:$R,MATCH(AH12,V!$L:$L,0)),"")</f>
        <v>16</v>
      </c>
      <c r="AH12" s="43" t="str">
        <f t="shared" si="5"/>
        <v>Peep Peenema</v>
      </c>
      <c r="AI12" s="42" t="str">
        <f>IFERROR(INDEX(V!$R:$R,MATCH(AJ12,V!$L:$L,0)),"")</f>
        <v/>
      </c>
      <c r="AJ12" s="43" t="str">
        <f t="shared" si="6"/>
        <v/>
      </c>
      <c r="AK12" s="42" t="str">
        <f>IFERROR(INDEX(V!$R:$R,MATCH(AL12,V!$L:$L,0)),"")</f>
        <v/>
      </c>
      <c r="AL12" s="43" t="str">
        <f t="shared" si="7"/>
        <v/>
      </c>
      <c r="AM12" s="42" t="str">
        <f>IFERROR(INDEX(V!$R:$R,MATCH(AN12,V!$L:$L,0)),"")</f>
        <v/>
      </c>
      <c r="AN12" s="43" t="str">
        <f t="shared" si="8"/>
        <v/>
      </c>
      <c r="AO12" s="42" t="str">
        <f>IFERROR(INDEX(V!$R:$R,MATCH(AP12,V!$L:$L,0)),"")</f>
        <v/>
      </c>
      <c r="AP12" s="43" t="str">
        <f t="shared" si="9"/>
        <v/>
      </c>
    </row>
    <row r="13" spans="1:42">
      <c r="A13" s="11">
        <v>7</v>
      </c>
      <c r="B13" s="18" t="s">
        <v>444</v>
      </c>
      <c r="C13" s="13">
        <v>11</v>
      </c>
      <c r="D13" s="14" t="s">
        <v>346</v>
      </c>
      <c r="E13" s="14">
        <v>12</v>
      </c>
      <c r="F13" s="15" t="s">
        <v>356</v>
      </c>
      <c r="G13" s="13">
        <v>10</v>
      </c>
      <c r="H13" s="14" t="s">
        <v>346</v>
      </c>
      <c r="I13" s="14">
        <v>9</v>
      </c>
      <c r="J13" s="15" t="s">
        <v>439</v>
      </c>
      <c r="K13" s="13">
        <v>13</v>
      </c>
      <c r="L13" s="14" t="s">
        <v>346</v>
      </c>
      <c r="M13" s="14">
        <v>4</v>
      </c>
      <c r="N13" s="15" t="s">
        <v>442</v>
      </c>
      <c r="O13" s="13">
        <v>10</v>
      </c>
      <c r="P13" s="14" t="s">
        <v>346</v>
      </c>
      <c r="Q13" s="14">
        <v>11</v>
      </c>
      <c r="R13" s="15" t="s">
        <v>428</v>
      </c>
      <c r="S13" s="13"/>
      <c r="T13" s="14"/>
      <c r="U13" s="14"/>
      <c r="V13" s="15"/>
      <c r="W13" s="28">
        <f>IF(C13&gt;E13,W$2,IF(C13&lt;E13,W$4,IF(ISNUMBER(C13),W$3,0)))+IF(G13&gt;I13,W$2,IF(G13&lt;I13,W$4,IF(ISNUMBER(G13),W$3,0)))+IF(K13&gt;M13,W$2,IF(K13&lt;M13,W$4,IF(ISNUMBER(K13),W$3,0)))+IF(O13&gt;Q13,W$2,IF(O13&lt;Q13,W$4,IF(ISNUMBER(O13),W$3,0)))+IF(S13&gt;U13,W$2,IF(S13&lt;U13,W$4,IF(ISNUMBER(S13),W$3,0)))</f>
        <v>2</v>
      </c>
      <c r="X13" s="29">
        <v>16</v>
      </c>
      <c r="Y13" s="29">
        <v>62</v>
      </c>
      <c r="Z13" s="13">
        <f t="shared" si="0"/>
        <v>44</v>
      </c>
      <c r="AA13" s="14" t="s">
        <v>346</v>
      </c>
      <c r="AB13" s="39">
        <f t="shared" si="1"/>
        <v>36</v>
      </c>
      <c r="AC13" s="40">
        <f t="shared" si="2"/>
        <v>8</v>
      </c>
      <c r="AD13" s="41">
        <f t="shared" si="3"/>
        <v>220</v>
      </c>
      <c r="AE13" s="42">
        <f>IFERROR(INDEX(V!$R:$R,MATCH(AF13,V!$L:$L,0)),"")</f>
        <v>150</v>
      </c>
      <c r="AF13" s="43" t="str">
        <f t="shared" si="4"/>
        <v>Henri Mitt</v>
      </c>
      <c r="AG13" s="42">
        <f>IFERROR(INDEX(V!$R:$R,MATCH(AH13,V!$L:$L,0)),"")</f>
        <v>70</v>
      </c>
      <c r="AH13" s="43" t="str">
        <f t="shared" si="5"/>
        <v>Melika Lehtla</v>
      </c>
      <c r="AI13" s="42" t="str">
        <f>IFERROR(INDEX(V!$R:$R,MATCH(AJ13,V!$L:$L,0)),"")</f>
        <v/>
      </c>
      <c r="AJ13" s="43" t="str">
        <f t="shared" si="6"/>
        <v/>
      </c>
      <c r="AK13" s="42" t="str">
        <f>IFERROR(INDEX(V!$R:$R,MATCH(AL13,V!$L:$L,0)),"")</f>
        <v/>
      </c>
      <c r="AL13" s="43" t="str">
        <f t="shared" si="7"/>
        <v/>
      </c>
      <c r="AM13" s="42" t="str">
        <f>IFERROR(INDEX(V!$R:$R,MATCH(AN13,V!$L:$L,0)),"")</f>
        <v/>
      </c>
      <c r="AN13" s="43" t="str">
        <f t="shared" si="8"/>
        <v/>
      </c>
      <c r="AO13" s="42" t="str">
        <f>IFERROR(INDEX(V!$R:$R,MATCH(AP13,V!$L:$L,0)),"")</f>
        <v/>
      </c>
      <c r="AP13" s="43" t="str">
        <f t="shared" si="9"/>
        <v/>
      </c>
    </row>
    <row r="14" spans="1:42">
      <c r="A14" s="11">
        <v>8</v>
      </c>
      <c r="B14" s="18" t="s">
        <v>356</v>
      </c>
      <c r="C14" s="13">
        <v>12</v>
      </c>
      <c r="D14" s="14" t="s">
        <v>346</v>
      </c>
      <c r="E14" s="14">
        <v>11</v>
      </c>
      <c r="F14" s="15" t="s">
        <v>444</v>
      </c>
      <c r="G14" s="13">
        <v>4</v>
      </c>
      <c r="H14" s="14" t="s">
        <v>346</v>
      </c>
      <c r="I14" s="14">
        <v>13</v>
      </c>
      <c r="J14" s="15" t="s">
        <v>360</v>
      </c>
      <c r="K14" s="13">
        <v>6</v>
      </c>
      <c r="L14" s="14" t="s">
        <v>346</v>
      </c>
      <c r="M14" s="14">
        <v>12</v>
      </c>
      <c r="N14" s="15" t="s">
        <v>428</v>
      </c>
      <c r="O14" s="13">
        <v>13</v>
      </c>
      <c r="P14" s="14" t="s">
        <v>346</v>
      </c>
      <c r="Q14" s="14">
        <v>4</v>
      </c>
      <c r="R14" s="15" t="s">
        <v>440</v>
      </c>
      <c r="S14" s="13"/>
      <c r="T14" s="14"/>
      <c r="U14" s="14"/>
      <c r="V14" s="15"/>
      <c r="W14" s="28">
        <f>IF(C14&gt;E14,W$2,IF(C14&lt;E14,W$4,IF(ISNUMBER(C14),W$3,0)))+IF(G14&gt;I14,W$2,IF(G14&lt;I14,W$4,IF(ISNUMBER(G14),W$3,0)))+IF(K14&gt;M14,W$2,IF(K14&lt;M14,W$4,IF(ISNUMBER(K14),W$3,0)))+IF(O14&gt;Q14,W$2,IF(O14&lt;Q14,W$4,IF(ISNUMBER(O14),W$3,0)))+IF(S14&gt;U14,W$2,IF(S14&lt;U14,W$4,IF(ISNUMBER(S14),W$3,0)))</f>
        <v>2</v>
      </c>
      <c r="X14" s="29">
        <v>14</v>
      </c>
      <c r="Y14" s="29">
        <v>74</v>
      </c>
      <c r="Z14" s="13">
        <f t="shared" si="0"/>
        <v>35</v>
      </c>
      <c r="AA14" s="14" t="s">
        <v>346</v>
      </c>
      <c r="AB14" s="39">
        <f t="shared" si="1"/>
        <v>40</v>
      </c>
      <c r="AC14" s="40">
        <f t="shared" si="2"/>
        <v>-5</v>
      </c>
      <c r="AD14" s="41">
        <f t="shared" si="3"/>
        <v>140</v>
      </c>
      <c r="AE14" s="42">
        <f>IFERROR(INDEX(V!$R:$R,MATCH(AF14,V!$L:$L,0)),"")</f>
        <v>70</v>
      </c>
      <c r="AF14" s="43" t="str">
        <f t="shared" si="4"/>
        <v>Ljudmila Varendi</v>
      </c>
      <c r="AG14" s="42">
        <f>IFERROR(INDEX(V!$R:$R,MATCH(AH14,V!$L:$L,0)),"")</f>
        <v>70</v>
      </c>
      <c r="AH14" s="43" t="str">
        <f t="shared" si="5"/>
        <v>Viktor Švarõgin</v>
      </c>
      <c r="AI14" s="42" t="str">
        <f>IFERROR(INDEX(V!$R:$R,MATCH(AJ14,V!$L:$L,0)),"")</f>
        <v/>
      </c>
      <c r="AJ14" s="43" t="str">
        <f t="shared" si="6"/>
        <v/>
      </c>
      <c r="AK14" s="42" t="str">
        <f>IFERROR(INDEX(V!$R:$R,MATCH(AL14,V!$L:$L,0)),"")</f>
        <v/>
      </c>
      <c r="AL14" s="43" t="str">
        <f t="shared" si="7"/>
        <v/>
      </c>
      <c r="AM14" s="42" t="str">
        <f>IFERROR(INDEX(V!$R:$R,MATCH(AN14,V!$L:$L,0)),"")</f>
        <v/>
      </c>
      <c r="AN14" s="43" t="str">
        <f t="shared" si="8"/>
        <v/>
      </c>
      <c r="AO14" s="42" t="str">
        <f>IFERROR(INDEX(V!$R:$R,MATCH(AP14,V!$L:$L,0)),"")</f>
        <v/>
      </c>
      <c r="AP14" s="43" t="str">
        <f t="shared" si="9"/>
        <v/>
      </c>
    </row>
    <row r="15" spans="1:42">
      <c r="A15" s="11">
        <v>9</v>
      </c>
      <c r="B15" s="17" t="s">
        <v>443</v>
      </c>
      <c r="C15" s="13">
        <v>7</v>
      </c>
      <c r="D15" s="14" t="s">
        <v>346</v>
      </c>
      <c r="E15" s="14">
        <v>12</v>
      </c>
      <c r="F15" s="15" t="s">
        <v>428</v>
      </c>
      <c r="G15" s="13">
        <v>13</v>
      </c>
      <c r="H15" s="14" t="s">
        <v>346</v>
      </c>
      <c r="I15" s="14">
        <v>7</v>
      </c>
      <c r="J15" s="15" t="s">
        <v>347</v>
      </c>
      <c r="K15" s="13">
        <v>4</v>
      </c>
      <c r="L15" s="14" t="s">
        <v>346</v>
      </c>
      <c r="M15" s="14">
        <v>13</v>
      </c>
      <c r="N15" s="15" t="s">
        <v>439</v>
      </c>
      <c r="O15" s="13">
        <v>13</v>
      </c>
      <c r="P15" s="14" t="s">
        <v>346</v>
      </c>
      <c r="Q15" s="14">
        <v>7</v>
      </c>
      <c r="R15" s="15" t="s">
        <v>367</v>
      </c>
      <c r="S15" s="13"/>
      <c r="T15" s="14"/>
      <c r="U15" s="14"/>
      <c r="V15" s="15"/>
      <c r="W15" s="28">
        <f>IF(C15&gt;E15,W$2,IF(C15&lt;E15,W$4,IF(ISNUMBER(C15),W$3,0)))+IF(G15&gt;I15,W$2,IF(G15&lt;I15,W$4,IF(ISNUMBER(G15),W$3,0)))+IF(K15&gt;M15,W$2,IF(K15&lt;M15,W$4,IF(ISNUMBER(K15),W$3,0)))+IF(O15&gt;Q15,W$2,IF(O15&lt;Q15,W$4,IF(ISNUMBER(O15),W$3,0)))+IF(S15&gt;U15,W$2,IF(S15&lt;U15,W$4,IF(ISNUMBER(S15),W$3,0)))</f>
        <v>2</v>
      </c>
      <c r="X15" s="29">
        <v>14</v>
      </c>
      <c r="Y15" s="29">
        <v>42</v>
      </c>
      <c r="Z15" s="13">
        <f t="shared" si="0"/>
        <v>37</v>
      </c>
      <c r="AA15" s="14" t="s">
        <v>346</v>
      </c>
      <c r="AB15" s="39">
        <f t="shared" si="1"/>
        <v>39</v>
      </c>
      <c r="AC15" s="40">
        <f t="shared" si="2"/>
        <v>-2</v>
      </c>
      <c r="AD15" s="41">
        <f t="shared" si="3"/>
        <v>176</v>
      </c>
      <c r="AE15" s="42">
        <f>IFERROR(INDEX(V!$R:$R,MATCH(AF15,V!$L:$L,0)),"")</f>
        <v>98</v>
      </c>
      <c r="AF15" s="43" t="str">
        <f t="shared" si="4"/>
        <v>Marko Rooden</v>
      </c>
      <c r="AG15" s="42">
        <f>IFERROR(INDEX(V!$R:$R,MATCH(AH15,V!$L:$L,0)),"")</f>
        <v>78</v>
      </c>
      <c r="AH15" s="43" t="str">
        <f t="shared" si="5"/>
        <v>Sander Aul</v>
      </c>
      <c r="AI15" s="42" t="str">
        <f>IFERROR(INDEX(V!$R:$R,MATCH(AJ15,V!$L:$L,0)),"")</f>
        <v/>
      </c>
      <c r="AJ15" s="43" t="str">
        <f t="shared" si="6"/>
        <v/>
      </c>
      <c r="AK15" s="42" t="str">
        <f>IFERROR(INDEX(V!$R:$R,MATCH(AL15,V!$L:$L,0)),"")</f>
        <v/>
      </c>
      <c r="AL15" s="43" t="str">
        <f t="shared" si="7"/>
        <v/>
      </c>
      <c r="AM15" s="42" t="str">
        <f>IFERROR(INDEX(V!$R:$R,MATCH(AN15,V!$L:$L,0)),"")</f>
        <v/>
      </c>
      <c r="AN15" s="43" t="str">
        <f t="shared" si="8"/>
        <v/>
      </c>
      <c r="AO15" s="42" t="str">
        <f>IFERROR(INDEX(V!$R:$R,MATCH(AP15,V!$L:$L,0)),"")</f>
        <v/>
      </c>
      <c r="AP15" s="43" t="str">
        <f t="shared" si="9"/>
        <v/>
      </c>
    </row>
    <row r="16" spans="1:42">
      <c r="A16" s="11">
        <v>10</v>
      </c>
      <c r="B16" s="18" t="s">
        <v>347</v>
      </c>
      <c r="C16" s="13">
        <v>5</v>
      </c>
      <c r="D16" s="14" t="s">
        <v>346</v>
      </c>
      <c r="E16" s="14">
        <v>13</v>
      </c>
      <c r="F16" s="15" t="s">
        <v>440</v>
      </c>
      <c r="G16" s="13">
        <v>7</v>
      </c>
      <c r="H16" s="14" t="s">
        <v>346</v>
      </c>
      <c r="I16" s="14">
        <v>13</v>
      </c>
      <c r="J16" s="15" t="s">
        <v>443</v>
      </c>
      <c r="K16" s="13">
        <v>13</v>
      </c>
      <c r="L16" s="14" t="s">
        <v>346</v>
      </c>
      <c r="M16" s="14">
        <v>7</v>
      </c>
      <c r="N16" s="15" t="s">
        <v>367</v>
      </c>
      <c r="O16" s="13">
        <v>13</v>
      </c>
      <c r="P16" s="14" t="s">
        <v>346</v>
      </c>
      <c r="Q16" s="14">
        <v>9</v>
      </c>
      <c r="R16" s="15" t="s">
        <v>442</v>
      </c>
      <c r="S16" s="13"/>
      <c r="T16" s="14"/>
      <c r="U16" s="14"/>
      <c r="V16" s="15"/>
      <c r="W16" s="28">
        <f t="shared" ref="W16:W23" si="10">IF(C16&gt;E16,W$2,IF(C16&lt;E16,W$4,IF(ISNUMBER(C16),W$3,0)))+IF(G16&gt;I16,W$2,IF(G16&lt;I16,W$4,IF(ISNUMBER(G16),W$3,0)))+IF(K16&gt;M16,W$2,IF(K16&lt;M16,W$4,IF(ISNUMBER(K16),W$3,0)))+IF(O16&gt;Q16,W$2,IF(O16&lt;Q16,W$4,IF(ISNUMBER(O16),W$3,0)))+IF(S16&gt;U16,W$2,IF(S16&lt;U16,W$4,IF(ISNUMBER(S16),W$3,0)))</f>
        <v>2</v>
      </c>
      <c r="X16" s="29">
        <v>8</v>
      </c>
      <c r="Y16" s="29">
        <v>50</v>
      </c>
      <c r="Z16" s="13">
        <f t="shared" ref="Z16:Z23" si="11">C16+G16+K16+O16+S16</f>
        <v>38</v>
      </c>
      <c r="AA16" s="14" t="s">
        <v>346</v>
      </c>
      <c r="AB16" s="39">
        <f t="shared" ref="AB16:AB23" si="12">E16+I16+M16+Q16+U16</f>
        <v>42</v>
      </c>
      <c r="AC16" s="40">
        <f t="shared" ref="AC16:AC23" si="13">Z16-AB16</f>
        <v>-4</v>
      </c>
      <c r="AD16" s="41">
        <f t="shared" ref="AD16:AD23" si="14">SUM(AE16:AL16)</f>
        <v>96</v>
      </c>
      <c r="AE16" s="42">
        <f>IFERROR(INDEX(V!$R:$R,MATCH(AF16,V!$L:$L,0)),"")</f>
        <v>62</v>
      </c>
      <c r="AF16" s="43" t="str">
        <f t="shared" ref="AF16:AF23" si="15">IFERROR(LEFT($B16,(FIND(",",$B16,1)-1)),"")</f>
        <v>Johannes Neiland</v>
      </c>
      <c r="AG16" s="42">
        <f>IFERROR(INDEX(V!$R:$R,MATCH(AH16,V!$L:$L,0)),"")</f>
        <v>34</v>
      </c>
      <c r="AH16" s="43" t="str">
        <f t="shared" ref="AH16:AH23" si="16">IFERROR(MID($B16,FIND(", ",$B16)+2,256),"")</f>
        <v>Urmas Randlaine</v>
      </c>
      <c r="AI16" s="42" t="str">
        <f>IFERROR(INDEX(V!$R:$R,MATCH(AJ16,V!$L:$L,0)),"")</f>
        <v/>
      </c>
      <c r="AJ16" s="43" t="str">
        <f t="shared" ref="AJ16:AJ23" si="17">IFERROR(MID($B16,FIND("^",SUBSTITUTE($B16,", ","^",1))+2,FIND("^",SUBSTITUTE($B16,", ","^",2))-FIND("^",SUBSTITUTE($B16,", ","^",1))-2),"")</f>
        <v/>
      </c>
      <c r="AK16" s="42" t="str">
        <f>IFERROR(INDEX(V!$R:$R,MATCH(AL16,V!$L:$L,0)),"")</f>
        <v/>
      </c>
      <c r="AL16" s="43" t="str">
        <f t="shared" ref="AL16:AL23" si="18">IFERROR(MID($B16,FIND(", ",$B16,FIND(", ",$B16,FIND(", ",$B16))+1)+2,30000),"")</f>
        <v/>
      </c>
      <c r="AM16" s="42" t="str">
        <f>IFERROR(INDEX(V!$R:$R,MATCH(AN16,V!$L:$L,0)),"")</f>
        <v/>
      </c>
      <c r="AN16" s="43" t="str">
        <f t="shared" ref="AN16:AN23" si="19">IFERROR(MID($B16,FIND(", ",$B16,FIND(", ",$B16)+1)+2,FIND(", ",$B16,FIND(", ",$B16,FIND(", ",$B16)+1)+1)-FIND(", ",$B16,FIND(", ",$B16)+1)-2),"")</f>
        <v/>
      </c>
      <c r="AO16" s="42" t="str">
        <f>IFERROR(INDEX(V!$R:$R,MATCH(AP16,V!$L:$L,0)),"")</f>
        <v/>
      </c>
      <c r="AP16" s="43" t="str">
        <f t="shared" ref="AP16:AP23" si="20">IFERROR(MID($B16,FIND(", ",$B16,FIND(", ",$B16,FIND(", ",$B16)+1)+1)+2,30000),"")</f>
        <v/>
      </c>
    </row>
    <row r="17" spans="1:42">
      <c r="A17" s="11">
        <v>11</v>
      </c>
      <c r="B17" s="17" t="s">
        <v>440</v>
      </c>
      <c r="C17" s="13">
        <v>13</v>
      </c>
      <c r="D17" s="14" t="s">
        <v>346</v>
      </c>
      <c r="E17" s="14">
        <v>5</v>
      </c>
      <c r="F17" s="15" t="s">
        <v>347</v>
      </c>
      <c r="G17" s="13">
        <v>12</v>
      </c>
      <c r="H17" s="14" t="s">
        <v>346</v>
      </c>
      <c r="I17" s="14">
        <v>13</v>
      </c>
      <c r="J17" s="15" t="s">
        <v>438</v>
      </c>
      <c r="K17" s="13">
        <v>10</v>
      </c>
      <c r="L17" s="14" t="s">
        <v>346</v>
      </c>
      <c r="M17" s="14">
        <v>12</v>
      </c>
      <c r="N17" s="15" t="s">
        <v>349</v>
      </c>
      <c r="O17" s="13">
        <v>4</v>
      </c>
      <c r="P17" s="14" t="s">
        <v>346</v>
      </c>
      <c r="Q17" s="14">
        <v>13</v>
      </c>
      <c r="R17" s="15" t="s">
        <v>356</v>
      </c>
      <c r="S17" s="13"/>
      <c r="T17" s="14"/>
      <c r="U17" s="14"/>
      <c r="V17" s="15"/>
      <c r="W17" s="28">
        <f t="shared" si="10"/>
        <v>1</v>
      </c>
      <c r="X17" s="29">
        <v>22</v>
      </c>
      <c r="Y17" s="29">
        <v>48</v>
      </c>
      <c r="Z17" s="13">
        <f t="shared" si="11"/>
        <v>39</v>
      </c>
      <c r="AA17" s="14" t="s">
        <v>346</v>
      </c>
      <c r="AB17" s="39">
        <f t="shared" si="12"/>
        <v>43</v>
      </c>
      <c r="AC17" s="40">
        <f t="shared" si="13"/>
        <v>-4</v>
      </c>
      <c r="AD17" s="41">
        <f t="shared" si="14"/>
        <v>210</v>
      </c>
      <c r="AE17" s="42">
        <f>IFERROR(INDEX(V!$R:$R,MATCH(AF17,V!$L:$L,0)),"")</f>
        <v>112</v>
      </c>
      <c r="AF17" s="43" t="str">
        <f t="shared" si="15"/>
        <v>Jaan Sepp</v>
      </c>
      <c r="AG17" s="42">
        <f>IFERROR(INDEX(V!$R:$R,MATCH(AH17,V!$L:$L,0)),"")</f>
        <v>98</v>
      </c>
      <c r="AH17" s="43" t="str">
        <f t="shared" si="16"/>
        <v>Sirje Maala</v>
      </c>
      <c r="AI17" s="42" t="str">
        <f>IFERROR(INDEX(V!$R:$R,MATCH(AJ17,V!$L:$L,0)),"")</f>
        <v/>
      </c>
      <c r="AJ17" s="43" t="str">
        <f t="shared" si="17"/>
        <v/>
      </c>
      <c r="AK17" s="42" t="str">
        <f>IFERROR(INDEX(V!$R:$R,MATCH(AL17,V!$L:$L,0)),"")</f>
        <v/>
      </c>
      <c r="AL17" s="43" t="str">
        <f t="shared" si="18"/>
        <v/>
      </c>
      <c r="AM17" s="42" t="str">
        <f>IFERROR(INDEX(V!$R:$R,MATCH(AN17,V!$L:$L,0)),"")</f>
        <v/>
      </c>
      <c r="AN17" s="43" t="str">
        <f t="shared" si="19"/>
        <v/>
      </c>
      <c r="AO17" s="42" t="str">
        <f>IFERROR(INDEX(V!$R:$R,MATCH(AP17,V!$L:$L,0)),"")</f>
        <v/>
      </c>
      <c r="AP17" s="43" t="str">
        <f t="shared" si="20"/>
        <v/>
      </c>
    </row>
    <row r="18" spans="1:42">
      <c r="A18" s="11">
        <v>12</v>
      </c>
      <c r="B18" s="18" t="s">
        <v>360</v>
      </c>
      <c r="C18" s="13">
        <v>7</v>
      </c>
      <c r="D18" s="14" t="s">
        <v>346</v>
      </c>
      <c r="E18" s="14">
        <v>9</v>
      </c>
      <c r="F18" s="15" t="s">
        <v>354</v>
      </c>
      <c r="G18" s="13">
        <v>13</v>
      </c>
      <c r="H18" s="14" t="s">
        <v>346</v>
      </c>
      <c r="I18" s="14">
        <v>4</v>
      </c>
      <c r="J18" s="15" t="s">
        <v>356</v>
      </c>
      <c r="K18" s="13">
        <v>4</v>
      </c>
      <c r="L18" s="14" t="s">
        <v>346</v>
      </c>
      <c r="M18" s="14">
        <v>13</v>
      </c>
      <c r="N18" s="15" t="s">
        <v>438</v>
      </c>
      <c r="O18" s="13">
        <v>3</v>
      </c>
      <c r="P18" s="14" t="s">
        <v>346</v>
      </c>
      <c r="Q18" s="14">
        <v>13</v>
      </c>
      <c r="R18" s="15" t="s">
        <v>439</v>
      </c>
      <c r="S18" s="13"/>
      <c r="T18" s="14"/>
      <c r="U18" s="14"/>
      <c r="V18" s="15"/>
      <c r="W18" s="28">
        <f t="shared" si="10"/>
        <v>1</v>
      </c>
      <c r="X18" s="29">
        <v>20</v>
      </c>
      <c r="Y18" s="29">
        <v>66</v>
      </c>
      <c r="Z18" s="13">
        <f t="shared" si="11"/>
        <v>27</v>
      </c>
      <c r="AA18" s="14" t="s">
        <v>346</v>
      </c>
      <c r="AB18" s="39">
        <f t="shared" si="12"/>
        <v>39</v>
      </c>
      <c r="AC18" s="40">
        <f t="shared" si="13"/>
        <v>-12</v>
      </c>
      <c r="AD18" s="41">
        <f t="shared" si="14"/>
        <v>292</v>
      </c>
      <c r="AE18" s="42">
        <f>IFERROR(INDEX(V!$R:$R,MATCH(AF18,V!$L:$L,0)),"")</f>
        <v>146</v>
      </c>
      <c r="AF18" s="43" t="str">
        <f t="shared" si="15"/>
        <v>Meelis Luud</v>
      </c>
      <c r="AG18" s="42">
        <f>IFERROR(INDEX(V!$R:$R,MATCH(AH18,V!$L:$L,0)),"")</f>
        <v>146</v>
      </c>
      <c r="AH18" s="43" t="str">
        <f t="shared" si="16"/>
        <v>Sander Rose</v>
      </c>
      <c r="AI18" s="42" t="str">
        <f>IFERROR(INDEX(V!$R:$R,MATCH(AJ18,V!$L:$L,0)),"")</f>
        <v/>
      </c>
      <c r="AJ18" s="43" t="str">
        <f t="shared" si="17"/>
        <v/>
      </c>
      <c r="AK18" s="42" t="str">
        <f>IFERROR(INDEX(V!$R:$R,MATCH(AL18,V!$L:$L,0)),"")</f>
        <v/>
      </c>
      <c r="AL18" s="43" t="str">
        <f t="shared" si="18"/>
        <v/>
      </c>
      <c r="AM18" s="42" t="str">
        <f>IFERROR(INDEX(V!$R:$R,MATCH(AN18,V!$L:$L,0)),"")</f>
        <v/>
      </c>
      <c r="AN18" s="43" t="str">
        <f t="shared" si="19"/>
        <v/>
      </c>
      <c r="AO18" s="42" t="str">
        <f>IFERROR(INDEX(V!$R:$R,MATCH(AP18,V!$L:$L,0)),"")</f>
        <v/>
      </c>
      <c r="AP18" s="43" t="str">
        <f t="shared" si="20"/>
        <v/>
      </c>
    </row>
    <row r="19" spans="1:42">
      <c r="A19" s="11">
        <v>13</v>
      </c>
      <c r="B19" s="17" t="s">
        <v>442</v>
      </c>
      <c r="C19" s="13">
        <v>3</v>
      </c>
      <c r="D19" s="14" t="s">
        <v>346</v>
      </c>
      <c r="E19" s="14">
        <v>13</v>
      </c>
      <c r="F19" s="15" t="s">
        <v>441</v>
      </c>
      <c r="G19" s="13">
        <v>13</v>
      </c>
      <c r="H19" s="14" t="s">
        <v>346</v>
      </c>
      <c r="I19" s="14">
        <v>7</v>
      </c>
      <c r="J19" s="15" t="s">
        <v>367</v>
      </c>
      <c r="K19" s="13">
        <v>4</v>
      </c>
      <c r="L19" s="14" t="s">
        <v>346</v>
      </c>
      <c r="M19" s="14">
        <v>13</v>
      </c>
      <c r="N19" s="15" t="s">
        <v>444</v>
      </c>
      <c r="O19" s="13">
        <v>9</v>
      </c>
      <c r="P19" s="14" t="s">
        <v>346</v>
      </c>
      <c r="Q19" s="14">
        <v>13</v>
      </c>
      <c r="R19" s="15" t="s">
        <v>347</v>
      </c>
      <c r="S19" s="13"/>
      <c r="T19" s="14"/>
      <c r="U19" s="14"/>
      <c r="V19" s="15"/>
      <c r="W19" s="28">
        <f t="shared" si="10"/>
        <v>1</v>
      </c>
      <c r="X19" s="29">
        <v>14</v>
      </c>
      <c r="Y19" s="29">
        <v>44</v>
      </c>
      <c r="Z19" s="13">
        <f t="shared" si="11"/>
        <v>29</v>
      </c>
      <c r="AA19" s="14" t="s">
        <v>346</v>
      </c>
      <c r="AB19" s="39">
        <f t="shared" si="12"/>
        <v>46</v>
      </c>
      <c r="AC19" s="40">
        <f t="shared" si="13"/>
        <v>-17</v>
      </c>
      <c r="AD19" s="41">
        <f t="shared" si="14"/>
        <v>50</v>
      </c>
      <c r="AE19" s="42">
        <f>IFERROR(INDEX(V!$R:$R,MATCH(AF19,V!$L:$L,0)),"")</f>
        <v>48</v>
      </c>
      <c r="AF19" s="43" t="str">
        <f t="shared" si="15"/>
        <v>Liidia Põllu</v>
      </c>
      <c r="AG19" s="42">
        <f>IFERROR(INDEX(V!$R:$R,MATCH(AH19,V!$L:$L,0)),"")</f>
        <v>2</v>
      </c>
      <c r="AH19" s="43" t="str">
        <f t="shared" si="16"/>
        <v>Veronika Põllu</v>
      </c>
      <c r="AI19" s="42" t="str">
        <f>IFERROR(INDEX(V!$R:$R,MATCH(AJ19,V!$L:$L,0)),"")</f>
        <v/>
      </c>
      <c r="AJ19" s="43" t="str">
        <f t="shared" si="17"/>
        <v/>
      </c>
      <c r="AK19" s="42" t="str">
        <f>IFERROR(INDEX(V!$R:$R,MATCH(AL19,V!$L:$L,0)),"")</f>
        <v/>
      </c>
      <c r="AL19" s="43" t="str">
        <f t="shared" si="18"/>
        <v/>
      </c>
      <c r="AM19" s="42" t="str">
        <f>IFERROR(INDEX(V!$R:$R,MATCH(AN19,V!$L:$L,0)),"")</f>
        <v/>
      </c>
      <c r="AN19" s="43" t="str">
        <f t="shared" si="19"/>
        <v/>
      </c>
      <c r="AO19" s="42" t="str">
        <f>IFERROR(INDEX(V!$R:$R,MATCH(AP19,V!$L:$L,0)),"")</f>
        <v/>
      </c>
      <c r="AP19" s="43" t="str">
        <f t="shared" si="20"/>
        <v/>
      </c>
    </row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  <row r="35" hidden="1"/>
    <row r="36" hidden="1"/>
    <row r="37" hidden="1"/>
    <row r="38" hidden="1"/>
    <row r="39" hidden="1"/>
    <row r="40" hidden="1"/>
    <row r="41" hidden="1"/>
    <row r="42" hidden="1"/>
    <row r="43" hidden="1"/>
    <row r="44" hidden="1"/>
    <row r="45" hidden="1"/>
    <row r="46" hidden="1"/>
    <row r="47" hidden="1"/>
    <row r="48" hidden="1"/>
    <row r="49" hidden="1"/>
    <row r="50" hidden="1"/>
    <row r="51" hidden="1"/>
    <row r="52" hidden="1"/>
    <row r="53" hidden="1"/>
    <row r="54" hidden="1"/>
    <row r="55" hidden="1"/>
    <row r="56" hidden="1"/>
    <row r="57" hidden="1"/>
    <row r="58" hidden="1"/>
    <row r="59" hidden="1"/>
    <row r="60" hidden="1"/>
    <row r="61" hidden="1"/>
    <row r="62" hidden="1"/>
    <row r="63" hidden="1"/>
    <row r="64" hidden="1"/>
    <row r="65" hidden="1"/>
    <row r="66" hidden="1"/>
    <row r="67" hidden="1"/>
    <row r="68" hidden="1"/>
    <row r="69" hidden="1"/>
    <row r="70" hidden="1"/>
    <row r="71" hidden="1"/>
    <row r="72" hidden="1"/>
    <row r="73" hidden="1"/>
    <row r="74" hidden="1"/>
    <row r="75" hidden="1"/>
    <row r="76" hidden="1"/>
    <row r="77" hidden="1"/>
    <row r="78" hidden="1"/>
    <row r="79" hidden="1"/>
    <row r="80" hidden="1"/>
    <row r="81" hidden="1"/>
    <row r="82" hidden="1"/>
    <row r="83" hidden="1"/>
    <row r="84" hidden="1"/>
    <row r="85" hidden="1"/>
    <row r="86" hidden="1"/>
    <row r="87" hidden="1"/>
    <row r="88" hidden="1"/>
    <row r="89" hidden="1"/>
    <row r="90" hidden="1"/>
    <row r="91" hidden="1"/>
    <row r="92" hidden="1"/>
    <row r="93" hidden="1"/>
    <row r="94" hidden="1"/>
    <row r="95" hidden="1"/>
    <row r="96" hidden="1"/>
    <row r="97" hidden="1"/>
    <row r="98" hidden="1"/>
    <row r="99" hidden="1"/>
    <row r="100" hidden="1"/>
    <row r="101" hidden="1"/>
    <row r="102" hidden="1"/>
    <row r="103" hidden="1"/>
    <row r="104" hidden="1"/>
    <row r="105" hidden="1"/>
    <row r="106" hidden="1"/>
    <row r="107" hidden="1"/>
    <row r="108" hidden="1"/>
    <row r="109" hidden="1"/>
    <row r="110" hidden="1"/>
    <row r="111" hidden="1"/>
    <row r="112" hidden="1"/>
    <row r="113" hidden="1"/>
    <row r="114" hidden="1"/>
    <row r="115" hidden="1"/>
    <row r="116" hidden="1"/>
    <row r="117" hidden="1"/>
    <row r="118" hidden="1"/>
    <row r="119" hidden="1"/>
    <row r="120" hidden="1"/>
    <row r="121" hidden="1"/>
    <row r="122" hidden="1"/>
    <row r="123" hidden="1"/>
    <row r="124" hidden="1"/>
    <row r="125" hidden="1"/>
    <row r="126" hidden="1"/>
    <row r="127" hidden="1"/>
    <row r="128" hidden="1"/>
    <row r="129" hidden="1"/>
    <row r="130" hidden="1"/>
    <row r="131" hidden="1"/>
    <row r="132" hidden="1"/>
    <row r="133" hidden="1"/>
    <row r="134" hidden="1"/>
    <row r="135" hidden="1"/>
    <row r="136" hidden="1"/>
    <row r="137" hidden="1"/>
    <row r="138" hidden="1"/>
    <row r="139" hidden="1"/>
    <row r="140" hidden="1"/>
    <row r="141" hidden="1"/>
    <row r="142" hidden="1"/>
    <row r="143" hidden="1"/>
    <row r="144" hidden="1"/>
    <row r="145" hidden="1"/>
    <row r="146" hidden="1"/>
    <row r="147" hidden="1"/>
    <row r="148" hidden="1"/>
    <row r="149" hidden="1"/>
    <row r="150" hidden="1"/>
    <row r="151" hidden="1"/>
    <row r="152" hidden="1"/>
    <row r="153" hidden="1"/>
    <row r="154" hidden="1"/>
    <row r="155" hidden="1"/>
    <row r="156" hidden="1"/>
    <row r="157" hidden="1"/>
    <row r="158" hidden="1"/>
    <row r="159" hidden="1"/>
    <row r="160" hidden="1"/>
    <row r="161" hidden="1"/>
    <row r="162" hidden="1"/>
    <row r="163" hidden="1"/>
    <row r="164" hidden="1"/>
    <row r="165" hidden="1"/>
    <row r="166" hidden="1"/>
    <row r="167" hidden="1"/>
    <row r="168" hidden="1"/>
    <row r="169" hidden="1"/>
    <row r="170" hidden="1"/>
    <row r="171" hidden="1"/>
    <row r="172" hidden="1"/>
    <row r="173" hidden="1"/>
    <row r="174" hidden="1"/>
    <row r="175" hidden="1"/>
    <row r="176" hidden="1"/>
    <row r="177" hidden="1"/>
    <row r="178" hidden="1"/>
    <row r="179" hidden="1"/>
    <row r="180" hidden="1"/>
    <row r="181" hidden="1"/>
    <row r="182" hidden="1"/>
    <row r="183" hidden="1"/>
    <row r="184" hidden="1"/>
    <row r="185" hidden="1"/>
    <row r="186" hidden="1"/>
    <row r="187" hidden="1"/>
    <row r="188" hidden="1"/>
    <row r="189" hidden="1"/>
    <row r="190" hidden="1"/>
    <row r="191" hidden="1"/>
    <row r="192" hidden="1"/>
    <row r="193" hidden="1"/>
    <row r="194" hidden="1"/>
    <row r="195" hidden="1"/>
    <row r="196" hidden="1"/>
    <row r="197" hidden="1"/>
    <row r="198" hidden="1"/>
    <row r="199" hidden="1"/>
    <row r="200" hidden="1"/>
    <row r="201" hidden="1"/>
    <row r="202" hidden="1"/>
    <row r="203" hidden="1"/>
    <row r="204" hidden="1"/>
    <row r="205" hidden="1"/>
    <row r="206" hidden="1"/>
    <row r="207" hidden="1"/>
    <row r="208" hidden="1"/>
    <row r="209" hidden="1"/>
    <row r="210" hidden="1"/>
    <row r="211" hidden="1"/>
    <row r="212" hidden="1"/>
    <row r="213" hidden="1"/>
    <row r="214" hidden="1"/>
    <row r="215" hidden="1"/>
    <row r="216" hidden="1"/>
    <row r="217" hidden="1"/>
    <row r="218" hidden="1"/>
    <row r="219" hidden="1"/>
    <row r="220" hidden="1"/>
    <row r="221" hidden="1"/>
    <row r="222" hidden="1"/>
    <row r="223" hidden="1"/>
    <row r="224" hidden="1"/>
    <row r="225" hidden="1"/>
    <row r="226" hidden="1"/>
    <row r="227" hidden="1"/>
    <row r="228" hidden="1"/>
    <row r="229" hidden="1"/>
    <row r="230" hidden="1"/>
    <row r="231" hidden="1"/>
    <row r="232" hidden="1"/>
    <row r="233" hidden="1"/>
    <row r="234" hidden="1"/>
    <row r="235" hidden="1"/>
    <row r="236" hidden="1"/>
    <row r="237" hidden="1"/>
    <row r="238" hidden="1"/>
    <row r="239" hidden="1"/>
    <row r="240" hidden="1"/>
    <row r="241" hidden="1"/>
    <row r="242" hidden="1"/>
    <row r="243" hidden="1"/>
    <row r="244" hidden="1"/>
    <row r="245" hidden="1"/>
    <row r="246" hidden="1"/>
    <row r="247" hidden="1"/>
    <row r="248" hidden="1"/>
    <row r="249" hidden="1"/>
    <row r="250" hidden="1"/>
    <row r="251" hidden="1"/>
    <row r="252" hidden="1"/>
    <row r="253" hidden="1"/>
    <row r="254" hidden="1"/>
    <row r="255" hidden="1"/>
    <row r="256" hidden="1"/>
    <row r="257" hidden="1"/>
    <row r="258" hidden="1"/>
    <row r="259" hidden="1"/>
    <row r="260" hidden="1"/>
    <row r="261" hidden="1"/>
    <row r="262" hidden="1"/>
    <row r="263" hidden="1"/>
    <row r="264" hidden="1"/>
    <row r="265" hidden="1"/>
    <row r="266" hidden="1"/>
    <row r="267" hidden="1"/>
    <row r="268" hidden="1"/>
    <row r="269" hidden="1"/>
    <row r="270" hidden="1"/>
    <row r="271" hidden="1"/>
    <row r="272" hidden="1"/>
    <row r="273" hidden="1"/>
    <row r="274" hidden="1"/>
    <row r="275" hidden="1"/>
    <row r="276" hidden="1"/>
    <row r="277" hidden="1"/>
    <row r="278" hidden="1"/>
    <row r="279" hidden="1"/>
    <row r="280" hidden="1"/>
    <row r="281" hidden="1"/>
    <row r="282" hidden="1"/>
    <row r="283" hidden="1"/>
    <row r="284" hidden="1"/>
    <row r="285" hidden="1"/>
    <row r="286" hidden="1"/>
    <row r="287" hidden="1"/>
    <row r="288" hidden="1"/>
    <row r="289" hidden="1"/>
    <row r="290" hidden="1"/>
    <row r="291" hidden="1"/>
    <row r="292" hidden="1"/>
    <row r="293" hidden="1"/>
    <row r="294" hidden="1"/>
    <row r="295" hidden="1"/>
    <row r="296" hidden="1"/>
    <row r="297" hidden="1"/>
    <row r="298" hidden="1"/>
    <row r="299" spans="1:6">
      <c r="A299" s="6"/>
      <c r="B299" s="6"/>
      <c r="C299" s="49" t="s">
        <v>368</v>
      </c>
      <c r="F299" s="50"/>
    </row>
    <row r="300" spans="1:6">
      <c r="A300" s="51">
        <v>1</v>
      </c>
      <c r="B300" s="52" t="str">
        <f>IFERROR(INDEX(B$1:B$95,MATCH(A300,A$1:A$95,0)),"")</f>
        <v>Oleg Rõndenkov, Tõnis Neiland</v>
      </c>
      <c r="C300" s="53">
        <f t="shared" ref="C300:C308" si="21">LARGE(A300:A400,1)*2+2-A300*2</f>
        <v>26</v>
      </c>
      <c r="F300" s="50"/>
    </row>
    <row r="301" spans="1:6">
      <c r="A301" s="51">
        <v>2</v>
      </c>
      <c r="B301" s="52" t="str">
        <f>IFERROR(INDEX(B$1:B$95,MATCH(A301,A$1:A$95,0)),"")</f>
        <v>Olav Türk, Vadim Tihhonjuk</v>
      </c>
      <c r="C301" s="53">
        <f t="shared" si="21"/>
        <v>24</v>
      </c>
      <c r="F301" s="50"/>
    </row>
    <row r="302" spans="1:6">
      <c r="A302" s="51">
        <v>3</v>
      </c>
      <c r="B302" s="52" t="str">
        <f>IFERROR(INDEX(B$1:B$95,MATCH(A302,A$1:A$95,0)),"")</f>
        <v>Aigi Orro, Elmo Lageda</v>
      </c>
      <c r="C302" s="53">
        <f t="shared" si="21"/>
        <v>22</v>
      </c>
      <c r="F302" s="50"/>
    </row>
    <row r="303" spans="1:6">
      <c r="A303" s="51">
        <v>4</v>
      </c>
      <c r="B303" s="52" t="str">
        <f>IFERROR(INDEX(B$1:B$95,MATCH(A303,A$1:A$95,0)),"")</f>
        <v>Andres Veski, Svetlana Veski</v>
      </c>
      <c r="C303" s="53">
        <f t="shared" si="21"/>
        <v>20</v>
      </c>
      <c r="F303" s="50"/>
    </row>
    <row r="304" spans="1:6">
      <c r="A304" s="51">
        <v>5</v>
      </c>
      <c r="B304" s="52" t="str">
        <f>IFERROR(INDEX(B$1:B$95,MATCH(A304,A$1:A$95,0)),"")</f>
        <v>Lemmit Toomra, Tõnu Kapper</v>
      </c>
      <c r="C304" s="53">
        <f t="shared" si="21"/>
        <v>18</v>
      </c>
      <c r="F304" s="50"/>
    </row>
    <row r="305" spans="1:6">
      <c r="A305" s="51">
        <v>6</v>
      </c>
      <c r="B305" s="52" t="str">
        <f>IFERROR(INDEX(B$1:B$95,MATCH(A305,A$1:A$95,0)),"")</f>
        <v>Kenneth Muusikus, Peep Peenema</v>
      </c>
      <c r="C305" s="53">
        <f t="shared" si="21"/>
        <v>16</v>
      </c>
      <c r="F305" s="50"/>
    </row>
    <row r="306" spans="1:6">
      <c r="A306" s="51">
        <v>7</v>
      </c>
      <c r="B306" s="52" t="str">
        <f>IFERROR(INDEX(B$1:B$95,MATCH(A306,A$1:A$95,0)),"")</f>
        <v>Henri Mitt, Melika Lehtla</v>
      </c>
      <c r="C306" s="53">
        <f t="shared" si="21"/>
        <v>14</v>
      </c>
      <c r="F306" s="50"/>
    </row>
    <row r="307" spans="1:6">
      <c r="A307" s="51">
        <v>8</v>
      </c>
      <c r="B307" s="52" t="str">
        <f>IFERROR(INDEX(B$1:B$95,MATCH(A307,A$1:A$95,0)),"")</f>
        <v>Ljudmila Varendi, Viktor Švarõgin</v>
      </c>
      <c r="C307" s="53">
        <f t="shared" si="21"/>
        <v>12</v>
      </c>
      <c r="F307" s="50"/>
    </row>
    <row r="308" spans="1:6">
      <c r="A308" s="51">
        <v>9</v>
      </c>
      <c r="B308" s="52" t="str">
        <f>IFERROR(INDEX(B$1:B$95,MATCH(A308,A$1:A$95,0)),"")</f>
        <v>Marko Rooden, Sander Aul</v>
      </c>
      <c r="C308" s="53">
        <f t="shared" si="21"/>
        <v>10</v>
      </c>
      <c r="F308" s="50"/>
    </row>
    <row r="309" spans="1:3">
      <c r="A309" s="51">
        <v>10</v>
      </c>
      <c r="B309" s="52" t="str">
        <f>IFERROR(INDEX(B$1:B$95,MATCH(A309,A$1:A$95,0)),"")</f>
        <v>Johannes Neiland, Urmas Randlaine</v>
      </c>
      <c r="C309" s="53">
        <f>LARGE(A309:A409,1)*2+2-A309*2</f>
        <v>8</v>
      </c>
    </row>
    <row r="310" spans="1:3">
      <c r="A310" s="51">
        <v>11</v>
      </c>
      <c r="B310" s="52" t="str">
        <f>IFERROR(INDEX(B$1:B$95,MATCH(A310,A$1:A$95,0)),"")</f>
        <v>Jaan Sepp, Sirje Maala</v>
      </c>
      <c r="C310" s="53">
        <f>LARGE(A310:A410,1)*2+2-A310*2</f>
        <v>6</v>
      </c>
    </row>
    <row r="311" spans="1:3">
      <c r="A311" s="51">
        <v>12</v>
      </c>
      <c r="B311" s="52" t="str">
        <f>IFERROR(INDEX(B$1:B$95,MATCH(A311,A$1:A$95,0)),"")</f>
        <v>Meelis Luud, Sander Rose</v>
      </c>
      <c r="C311" s="53">
        <f>LARGE(A311:A411,1)*2+2-A311*2</f>
        <v>4</v>
      </c>
    </row>
    <row r="312" spans="1:3">
      <c r="A312" s="51">
        <v>13</v>
      </c>
      <c r="B312" s="52" t="str">
        <f>IFERROR(INDEX(B$1:B$95,MATCH(A312,A$1:A$95,0)),"")</f>
        <v>Liidia Põllu, Veronika Põllu</v>
      </c>
      <c r="C312" s="53">
        <f>LARGE(A312:A412,1)*2+2-A312*2</f>
        <v>2</v>
      </c>
    </row>
  </sheetData>
  <conditionalFormatting sqref="A7:A19">
    <cfRule type="duplicateValues" dxfId="17" priority="33"/>
  </conditionalFormatting>
  <conditionalFormatting sqref="B300:B312">
    <cfRule type="duplicateValues" dxfId="8" priority="43"/>
    <cfRule type="containsBlanks" dxfId="19" priority="42">
      <formula>LEN(TRIM(B300))=0</formula>
    </cfRule>
    <cfRule type="expression" dxfId="18" priority="41">
      <formula>A300=1</formula>
    </cfRule>
    <cfRule type="expression" dxfId="4" priority="40">
      <formula>A300=2</formula>
    </cfRule>
    <cfRule type="expression" dxfId="3" priority="39">
      <formula>A300=3</formula>
    </cfRule>
  </conditionalFormatting>
  <conditionalFormatting sqref="C7:C19">
    <cfRule type="expression" dxfId="20" priority="15">
      <formula>IF($C7&gt;$E7,TRUE)</formula>
    </cfRule>
  </conditionalFormatting>
  <conditionalFormatting sqref="E7:E19">
    <cfRule type="expression" dxfId="20" priority="16">
      <formula>IF($C7&lt;$E7,TRUE)</formula>
    </cfRule>
  </conditionalFormatting>
  <conditionalFormatting sqref="F7:F19">
    <cfRule type="containsText" dxfId="21" priority="6" operator="between" text="vaba voor">
      <formula>NOT(ISERROR(SEARCH("vaba voor",F7)))</formula>
    </cfRule>
  </conditionalFormatting>
  <conditionalFormatting sqref="G7:G19">
    <cfRule type="expression" dxfId="20" priority="19">
      <formula>IF($G7&gt;$I7,TRUE)</formula>
    </cfRule>
  </conditionalFormatting>
  <conditionalFormatting sqref="I7:I19">
    <cfRule type="expression" dxfId="20" priority="20">
      <formula>IF($G7&lt;$I7,TRUE)</formula>
    </cfRule>
  </conditionalFormatting>
  <conditionalFormatting sqref="J7:J19">
    <cfRule type="containsText" dxfId="21" priority="5" operator="between" text="vaba voor">
      <formula>NOT(ISERROR(SEARCH("vaba voor",J7)))</formula>
    </cfRule>
  </conditionalFormatting>
  <conditionalFormatting sqref="K7:K19">
    <cfRule type="expression" dxfId="20" priority="23">
      <formula>IF($K7&gt;$M7,TRUE)</formula>
    </cfRule>
  </conditionalFormatting>
  <conditionalFormatting sqref="M7:M19">
    <cfRule type="expression" dxfId="20" priority="24">
      <formula>IF($K7&lt;$M7,TRUE)</formula>
    </cfRule>
  </conditionalFormatting>
  <conditionalFormatting sqref="N7:N19">
    <cfRule type="containsText" dxfId="21" priority="4" operator="between" text="vaba voor">
      <formula>NOT(ISERROR(SEARCH("vaba voor",N7)))</formula>
    </cfRule>
  </conditionalFormatting>
  <conditionalFormatting sqref="O7:O19">
    <cfRule type="expression" dxfId="20" priority="27">
      <formula>IF($O7&gt;$Q7,TRUE)</formula>
    </cfRule>
  </conditionalFormatting>
  <conditionalFormatting sqref="Q7:Q19">
    <cfRule type="expression" dxfId="20" priority="28">
      <formula>IF($O7&lt;$Q7,TRUE)</formula>
    </cfRule>
  </conditionalFormatting>
  <conditionalFormatting sqref="R7:R19">
    <cfRule type="containsText" dxfId="21" priority="7" operator="between" text="vaba voor">
      <formula>NOT(ISERROR(SEARCH("vaba voor",R7)))</formula>
    </cfRule>
  </conditionalFormatting>
  <conditionalFormatting sqref="S7:S19">
    <cfRule type="expression" dxfId="20" priority="31">
      <formula>IF($S7&gt;$U7,TRUE)</formula>
    </cfRule>
  </conditionalFormatting>
  <conditionalFormatting sqref="U7:U19">
    <cfRule type="expression" dxfId="20" priority="32">
      <formula>IF($S7&lt;$U7,TRUE)</formula>
    </cfRule>
  </conditionalFormatting>
  <conditionalFormatting sqref="V7:V19">
    <cfRule type="containsText" dxfId="21" priority="3" operator="between" text="vaba voor">
      <formula>NOT(ISERROR(SEARCH("vaba voor",V7)))</formula>
    </cfRule>
  </conditionalFormatting>
  <conditionalFormatting sqref="AF7:AF19">
    <cfRule type="expression" dxfId="22" priority="37">
      <formula>AND(AE7="",COUNTIF(AF7,"*,*")=0)</formula>
    </cfRule>
  </conditionalFormatting>
  <conditionalFormatting sqref="C7:C19;G7:G19;K7:K19;O7:O19;S7:S19">
    <cfRule type="expression" dxfId="24" priority="1">
      <formula>AND(C7=0,E7=13)</formula>
    </cfRule>
  </conditionalFormatting>
  <conditionalFormatting sqref="C7:F19">
    <cfRule type="expression" dxfId="23" priority="14">
      <formula>IF($C7&lt;$E7,TRUE)</formula>
    </cfRule>
    <cfRule type="expression" dxfId="7" priority="13">
      <formula>IF($C7&gt;$E7,TRUE)</formula>
    </cfRule>
    <cfRule type="expression" dxfId="5" priority="11">
      <formula>IF(AND(ISNUMBER($C7),$C7=$E7),TRUE)</formula>
    </cfRule>
  </conditionalFormatting>
  <conditionalFormatting sqref="E7:E19;I7:I19;M7:M19;Q7:Q19;U7:U19">
    <cfRule type="expression" dxfId="24" priority="2">
      <formula>AND(E7=0,C7=13)</formula>
    </cfRule>
  </conditionalFormatting>
  <conditionalFormatting sqref="G7:J19">
    <cfRule type="expression" dxfId="23" priority="18">
      <formula>IF($G7&lt;$I7,TRUE)</formula>
    </cfRule>
    <cfRule type="expression" dxfId="7" priority="17">
      <formula>IF($G7&gt;$I7,TRUE)</formula>
    </cfRule>
    <cfRule type="expression" dxfId="5" priority="12">
      <formula>IF(AND(ISNUMBER($G7),$G7=$I7),TRUE)</formula>
    </cfRule>
  </conditionalFormatting>
  <conditionalFormatting sqref="K7:N19">
    <cfRule type="expression" dxfId="23" priority="22">
      <formula>IF($K7&lt;$M7,TRUE)</formula>
    </cfRule>
    <cfRule type="expression" dxfId="7" priority="21">
      <formula>IF($K7&gt;$M7,TRUE)</formula>
    </cfRule>
    <cfRule type="expression" dxfId="5" priority="10">
      <formula>IF(AND(ISNUMBER($K7),$K7=$M7),TRUE)</formula>
    </cfRule>
  </conditionalFormatting>
  <conditionalFormatting sqref="O7:R19">
    <cfRule type="expression" dxfId="23" priority="26">
      <formula>IF($O7&lt;$Q7,TRUE)</formula>
    </cfRule>
    <cfRule type="expression" dxfId="7" priority="25">
      <formula>IF($O7&gt;$Q7,TRUE)</formula>
    </cfRule>
    <cfRule type="expression" dxfId="5" priority="9">
      <formula>IF(AND(ISNUMBER($O7),$O7=$Q7),TRUE)</formula>
    </cfRule>
  </conditionalFormatting>
  <conditionalFormatting sqref="S7:V19">
    <cfRule type="expression" dxfId="23" priority="30">
      <formula>IF($S7&lt;$U7,TRUE)</formula>
    </cfRule>
    <cfRule type="expression" dxfId="7" priority="29">
      <formula>IF($S7&gt;$U7,TRUE)</formula>
    </cfRule>
    <cfRule type="expression" dxfId="5" priority="8">
      <formula>IF(AND(ISNUMBER($S7),$S7=$U7),TRUE)</formula>
    </cfRule>
  </conditionalFormatting>
  <conditionalFormatting sqref="AJ7:AJ19;AH7:AH19;AL7:AL19">
    <cfRule type="expression" dxfId="22" priority="38">
      <formula>AND(AG7="",COUNTIF(AH7,"*,*")=0)</formula>
    </cfRule>
    <cfRule type="expression" dxfId="25" priority="36">
      <formula>AND(AG7="",FIND(",",AH7))</formula>
    </cfRule>
  </conditionalFormatting>
  <conditionalFormatting sqref="AN7:AN19;AP7:AP19">
    <cfRule type="expression" dxfId="25" priority="35">
      <formula>AND(AM7="",FIND(",",AN7))</formula>
    </cfRule>
    <cfRule type="expression" dxfId="22" priority="34">
      <formula>AND(AM7="",COUNTIF(AN7,"*,*")=0)</formula>
    </cfRule>
  </conditionalFormatting>
  <pageMargins left="0.393700787401575" right="0.393700787401575" top="0.78740157480315" bottom="0.393700787401575" header="0.78740157480315" footer="0"/>
  <pageSetup paperSize="9" fitToHeight="0" orientation="landscape" verticalDpi="1200"/>
  <headerFooter>
    <oddHeader>&amp;R&amp;P. leht &amp;N&amp; -st</oddHeader>
  </headerFooter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6"/>
  <sheetViews>
    <sheetView workbookViewId="0">
      <selection activeCell="D1" sqref="D1"/>
    </sheetView>
  </sheetViews>
  <sheetFormatPr defaultColWidth="9" defaultRowHeight="12.3" outlineLevelCol="1"/>
  <cols>
    <col min="1" max="16384" width="9.14414414414414" style="1"/>
  </cols>
  <sheetData>
    <row r="1" spans="1:2">
      <c r="A1" s="1">
        <v>0</v>
      </c>
      <c r="B1" s="2">
        <v>0</v>
      </c>
    </row>
    <row r="2" spans="1:2">
      <c r="A2" s="1">
        <v>1</v>
      </c>
      <c r="B2" s="2" t="s">
        <v>445</v>
      </c>
    </row>
    <row r="3" spans="1:2">
      <c r="A3" s="1">
        <v>2</v>
      </c>
      <c r="B3" s="2" t="s">
        <v>446</v>
      </c>
    </row>
    <row r="4" spans="1:2">
      <c r="A4" s="1">
        <v>3</v>
      </c>
      <c r="B4" s="2" t="s">
        <v>447</v>
      </c>
    </row>
    <row r="5" spans="1:2">
      <c r="A5" s="1">
        <v>4</v>
      </c>
      <c r="B5" s="2" t="s">
        <v>448</v>
      </c>
    </row>
    <row r="6" spans="1:2">
      <c r="A6" s="1">
        <v>5</v>
      </c>
      <c r="B6" s="2" t="s">
        <v>449</v>
      </c>
    </row>
    <row r="7" spans="1:2">
      <c r="A7" s="1">
        <v>6</v>
      </c>
      <c r="B7" s="2" t="s">
        <v>450</v>
      </c>
    </row>
    <row r="8" spans="1:2">
      <c r="A8" s="1">
        <v>7</v>
      </c>
      <c r="B8" s="2" t="s">
        <v>451</v>
      </c>
    </row>
    <row r="9" spans="1:2">
      <c r="A9" s="1">
        <v>8</v>
      </c>
      <c r="B9" s="2" t="s">
        <v>447</v>
      </c>
    </row>
    <row r="10" spans="1:2">
      <c r="A10" s="1">
        <v>9</v>
      </c>
      <c r="B10" s="2" t="s">
        <v>448</v>
      </c>
    </row>
    <row r="11" spans="1:2">
      <c r="A11" s="1">
        <v>10</v>
      </c>
      <c r="B11" s="2" t="s">
        <v>449</v>
      </c>
    </row>
    <row r="12" spans="1:2">
      <c r="A12" s="1">
        <v>11</v>
      </c>
      <c r="B12" s="2" t="s">
        <v>450</v>
      </c>
    </row>
    <row r="13" spans="1:2">
      <c r="A13" s="1">
        <v>12</v>
      </c>
      <c r="B13" s="2" t="s">
        <v>451</v>
      </c>
    </row>
    <row r="14" spans="1:2">
      <c r="A14" s="1">
        <v>13</v>
      </c>
      <c r="B14" s="2" t="s">
        <v>452</v>
      </c>
    </row>
    <row r="15" spans="1:2">
      <c r="A15" s="1">
        <v>14</v>
      </c>
      <c r="B15" s="2" t="s">
        <v>453</v>
      </c>
    </row>
    <row r="16" spans="1:2">
      <c r="A16" s="1">
        <v>15</v>
      </c>
      <c r="B16" s="2" t="s">
        <v>177</v>
      </c>
    </row>
    <row r="17" spans="1:2">
      <c r="A17" s="1">
        <v>16</v>
      </c>
      <c r="B17" s="2" t="s">
        <v>329</v>
      </c>
    </row>
    <row r="18" spans="1:2">
      <c r="A18" s="1">
        <v>17</v>
      </c>
      <c r="B18" s="2" t="s">
        <v>454</v>
      </c>
    </row>
    <row r="19" spans="1:2">
      <c r="A19" s="1">
        <v>18</v>
      </c>
      <c r="B19" s="2" t="s">
        <v>173</v>
      </c>
    </row>
    <row r="20" spans="1:2">
      <c r="A20" s="1">
        <v>19</v>
      </c>
      <c r="B20" s="2" t="s">
        <v>175</v>
      </c>
    </row>
    <row r="21" spans="1:2">
      <c r="A21" s="1">
        <v>20</v>
      </c>
      <c r="B21" s="2" t="s">
        <v>455</v>
      </c>
    </row>
    <row r="22" spans="1:2">
      <c r="A22" s="1">
        <v>21</v>
      </c>
      <c r="B22" s="2" t="s">
        <v>456</v>
      </c>
    </row>
    <row r="23" spans="1:2">
      <c r="A23" s="1">
        <v>22</v>
      </c>
      <c r="B23" s="2" t="s">
        <v>457</v>
      </c>
    </row>
    <row r="24" spans="1:2">
      <c r="A24" s="1">
        <v>23</v>
      </c>
      <c r="B24" s="2" t="s">
        <v>6</v>
      </c>
    </row>
    <row r="25" spans="1:2">
      <c r="A25" s="1">
        <v>24</v>
      </c>
      <c r="B25" s="2" t="s">
        <v>458</v>
      </c>
    </row>
    <row r="26" spans="1:2">
      <c r="A26" s="1">
        <v>25</v>
      </c>
      <c r="B26" s="2" t="s">
        <v>181</v>
      </c>
    </row>
    <row r="27" spans="1:2">
      <c r="A27" s="1">
        <v>26</v>
      </c>
      <c r="B27" s="2" t="s">
        <v>459</v>
      </c>
    </row>
    <row r="28" spans="1:2">
      <c r="A28" s="1">
        <v>27</v>
      </c>
      <c r="B28" s="2" t="s">
        <v>182</v>
      </c>
    </row>
    <row r="29" spans="1:2">
      <c r="A29" s="1">
        <v>28</v>
      </c>
      <c r="B29" s="2" t="s">
        <v>460</v>
      </c>
    </row>
    <row r="30" spans="1:2">
      <c r="A30" s="1">
        <v>29</v>
      </c>
      <c r="B30" s="2" t="s">
        <v>461</v>
      </c>
    </row>
    <row r="31" spans="1:2">
      <c r="A31" s="1">
        <v>30</v>
      </c>
      <c r="B31" s="2" t="s">
        <v>462</v>
      </c>
    </row>
    <row r="32" spans="1:2">
      <c r="A32" s="1">
        <v>31</v>
      </c>
      <c r="B32" s="2" t="s">
        <v>463</v>
      </c>
    </row>
    <row r="33" spans="2:2">
      <c r="B33" s="1" t="s">
        <v>464</v>
      </c>
    </row>
    <row r="34" spans="1:1">
      <c r="A34" s="1" t="s">
        <v>465</v>
      </c>
    </row>
    <row r="36" spans="1:1">
      <c r="A36" s="1" t="s">
        <v>466</v>
      </c>
    </row>
  </sheetData>
  <pageMargins left="0.7" right="0.7" top="0.75" bottom="0.75" header="0.3" footer="0.3"/>
  <pageSetup paperSize="1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  <pageSetUpPr fitToPage="1"/>
  </sheetPr>
  <dimension ref="A1:S128"/>
  <sheetViews>
    <sheetView showGridLines="0" tabSelected="1" workbookViewId="0">
      <pane ySplit="3" topLeftCell="A38" activePane="bottomLeft" state="frozen"/>
      <selection/>
      <selection pane="bottomLeft" activeCell="M47" sqref="M47"/>
    </sheetView>
  </sheetViews>
  <sheetFormatPr defaultColWidth="9" defaultRowHeight="12.3"/>
  <cols>
    <col min="1" max="1" width="4" style="257" customWidth="1"/>
    <col min="2" max="2" width="3" style="257" customWidth="1"/>
    <col min="3" max="3" width="9.71171171171171" style="257" customWidth="1"/>
    <col min="4" max="4" width="3" style="257" customWidth="1"/>
    <col min="5" max="5" width="4" style="257" customWidth="1"/>
    <col min="6" max="6" width="3" style="257" customWidth="1"/>
    <col min="7" max="7" width="14.2882882882883" style="257" customWidth="1"/>
    <col min="8" max="8" width="3" style="257" customWidth="1"/>
    <col min="9" max="9" width="4.71171171171171" style="257" customWidth="1"/>
    <col min="10" max="10" width="3" style="257" customWidth="1"/>
    <col min="11" max="11" width="21.2882882882883" style="257" customWidth="1"/>
    <col min="12" max="12" width="3" style="257" customWidth="1"/>
    <col min="13" max="13" width="21.2882882882883" style="257" customWidth="1"/>
    <col min="14" max="14" width="3" style="257" customWidth="1"/>
    <col min="15" max="15" width="0.855855855855856" style="256" customWidth="1"/>
    <col min="16" max="16" width="3" style="256" customWidth="1"/>
    <col min="17" max="17" width="19.4234234234234" style="256" customWidth="1"/>
    <col min="18" max="18" width="3" style="256" customWidth="1"/>
    <col min="19" max="19" width="19.4234234234234" style="257" customWidth="1"/>
    <col min="20" max="20" width="3" style="257" customWidth="1"/>
    <col min="21" max="16384" width="9.14414414414414" style="257"/>
  </cols>
  <sheetData>
    <row r="1" spans="1:16">
      <c r="A1" s="258"/>
      <c r="B1" s="259" t="s">
        <v>94</v>
      </c>
      <c r="C1" s="258"/>
      <c r="D1" s="260"/>
      <c r="E1" s="259"/>
      <c r="F1" s="259"/>
      <c r="G1" s="260"/>
      <c r="H1" s="260"/>
      <c r="I1" s="260"/>
      <c r="J1" s="393" t="str">
        <f>HYPERLINK("","")</f>
        <v/>
      </c>
      <c r="K1" s="394"/>
      <c r="L1" s="395" t="s">
        <v>1</v>
      </c>
      <c r="M1" s="258"/>
      <c r="N1" s="396"/>
      <c r="O1" s="394"/>
      <c r="P1" s="394"/>
    </row>
    <row r="2" ht="13.05" spans="1:16">
      <c r="A2" s="260"/>
      <c r="B2" s="260"/>
      <c r="C2" s="260"/>
      <c r="D2" s="260"/>
      <c r="E2" s="260"/>
      <c r="F2" s="260"/>
      <c r="G2" s="260"/>
      <c r="H2" s="260"/>
      <c r="I2" s="260"/>
      <c r="J2" s="260"/>
      <c r="K2" s="394"/>
      <c r="L2" s="396"/>
      <c r="M2" s="396"/>
      <c r="N2" s="397"/>
      <c r="O2" s="394"/>
      <c r="P2" s="394"/>
    </row>
    <row r="3" ht="13.05" spans="1:16">
      <c r="A3" s="261" t="s">
        <v>95</v>
      </c>
      <c r="B3" s="262"/>
      <c r="C3" s="261" t="s">
        <v>96</v>
      </c>
      <c r="D3" s="262"/>
      <c r="E3" s="261" t="s">
        <v>97</v>
      </c>
      <c r="F3" s="262"/>
      <c r="G3" s="261" t="s">
        <v>98</v>
      </c>
      <c r="H3" s="262"/>
      <c r="I3" s="261" t="s">
        <v>99</v>
      </c>
      <c r="J3" s="262"/>
      <c r="K3" s="261" t="s">
        <v>100</v>
      </c>
      <c r="L3" s="262"/>
      <c r="M3" s="261" t="s">
        <v>101</v>
      </c>
      <c r="N3" s="398"/>
      <c r="O3" s="394"/>
      <c r="P3" s="394"/>
    </row>
    <row r="4" ht="13.05" spans="1:16">
      <c r="A4" s="806" t="s">
        <v>11</v>
      </c>
      <c r="B4" s="264"/>
      <c r="C4" s="265"/>
      <c r="D4" s="266"/>
      <c r="E4" s="266"/>
      <c r="F4" s="266"/>
      <c r="G4" s="266"/>
      <c r="H4" s="266"/>
      <c r="I4" s="276"/>
      <c r="J4" s="276"/>
      <c r="K4" s="266"/>
      <c r="L4" s="276"/>
      <c r="M4" s="266"/>
      <c r="N4" s="266"/>
      <c r="O4" s="358"/>
      <c r="P4" s="399"/>
    </row>
    <row r="5" spans="1:16">
      <c r="A5" s="267"/>
      <c r="B5" s="268"/>
      <c r="C5" s="269"/>
      <c r="D5" s="270"/>
      <c r="E5" s="271"/>
      <c r="F5" s="270">
        <v>1</v>
      </c>
      <c r="G5" s="272"/>
      <c r="H5" s="270">
        <v>2</v>
      </c>
      <c r="I5" s="267"/>
      <c r="J5" s="268">
        <v>3</v>
      </c>
      <c r="K5" s="400" t="str">
        <f>HYPERLINK("https://www.petanque.ee/index.php?id=103839&amp;cid=1039","EM katsekad, 2. etapp")</f>
        <v>EM katsekad, 2. etapp</v>
      </c>
      <c r="L5" s="268">
        <v>4</v>
      </c>
      <c r="M5" s="400" t="str">
        <f>HYPERLINK("https://www.petanque.ee/index.php?id=103839&amp;cid=1040","EM katsekad, 2. etapp")</f>
        <v>EM katsekad, 2. etapp</v>
      </c>
      <c r="N5" s="268">
        <v>5</v>
      </c>
      <c r="O5" s="394"/>
      <c r="P5" s="401"/>
    </row>
    <row r="6" spans="1:16">
      <c r="A6" s="273"/>
      <c r="B6" s="274"/>
      <c r="C6" s="275"/>
      <c r="D6" s="276"/>
      <c r="E6" s="277"/>
      <c r="F6" s="276"/>
      <c r="G6" s="278"/>
      <c r="H6" s="276"/>
      <c r="I6" s="402"/>
      <c r="J6" s="276"/>
      <c r="K6" s="403" t="s">
        <v>102</v>
      </c>
      <c r="L6" s="404"/>
      <c r="M6" s="403" t="s">
        <v>102</v>
      </c>
      <c r="N6" s="404"/>
      <c r="O6" s="394"/>
      <c r="P6" s="401"/>
    </row>
    <row r="7" spans="1:16">
      <c r="A7" s="273"/>
      <c r="B7" s="274"/>
      <c r="C7" s="275"/>
      <c r="D7" s="276"/>
      <c r="E7" s="277"/>
      <c r="F7" s="276"/>
      <c r="G7" s="279"/>
      <c r="H7" s="280"/>
      <c r="I7" s="402"/>
      <c r="J7" s="276"/>
      <c r="K7" s="405" t="str">
        <f>HYPERLINK("https://kaart.delfi.ee/?bookmark=73a75c2d8ed4a34c764e205c87288d20","Harku, Pikk 19")</f>
        <v>Harku, Pikk 19</v>
      </c>
      <c r="L7" s="274"/>
      <c r="M7" s="406" t="str">
        <f>HYPERLINK("https://kaart.delfi.ee/?bookmark=73a75c2d8ed4a34c764e205c87288d20","Harku, Pikk 19")</f>
        <v>Harku, Pikk 19</v>
      </c>
      <c r="N7" s="407"/>
      <c r="O7" s="394"/>
      <c r="P7" s="401"/>
    </row>
    <row r="8" spans="1:16">
      <c r="A8" s="273"/>
      <c r="B8" s="276"/>
      <c r="C8" s="275"/>
      <c r="D8" s="276"/>
      <c r="E8" s="277"/>
      <c r="F8" s="276"/>
      <c r="G8" s="279"/>
      <c r="H8" s="280"/>
      <c r="I8" s="402"/>
      <c r="J8" s="276"/>
      <c r="K8" s="279"/>
      <c r="L8" s="274"/>
      <c r="M8" s="408" t="str">
        <f>HYPERLINK("#'TMV-d'!A5","Toila valla lahtised MV")</f>
        <v>Toila valla lahtised MV</v>
      </c>
      <c r="N8" s="409"/>
      <c r="O8" s="394"/>
      <c r="P8" s="401"/>
    </row>
    <row r="9" spans="1:16">
      <c r="A9" s="273"/>
      <c r="B9" s="276"/>
      <c r="C9" s="275"/>
      <c r="D9" s="276"/>
      <c r="E9" s="277"/>
      <c r="F9" s="276"/>
      <c r="G9" s="279"/>
      <c r="H9" s="280"/>
      <c r="I9" s="402"/>
      <c r="J9" s="276"/>
      <c r="K9" s="279"/>
      <c r="L9" s="274"/>
      <c r="M9" s="410" t="s">
        <v>103</v>
      </c>
      <c r="N9" s="411"/>
      <c r="O9" s="394"/>
      <c r="P9" s="401"/>
    </row>
    <row r="10" ht="13.05" spans="1:16">
      <c r="A10" s="281"/>
      <c r="B10" s="282"/>
      <c r="C10" s="283"/>
      <c r="D10" s="282"/>
      <c r="E10" s="284"/>
      <c r="F10" s="282"/>
      <c r="G10" s="285"/>
      <c r="H10" s="286"/>
      <c r="I10" s="412"/>
      <c r="J10" s="282"/>
      <c r="K10" s="285"/>
      <c r="L10" s="413"/>
      <c r="M10" s="414" t="str">
        <f>HYPERLINK("http://kaart.delfi.ee//?bookmark=ebd616e171f4882941c876d5ba118858","Voka staadion")</f>
        <v>Voka staadion</v>
      </c>
      <c r="N10" s="415" t="str">
        <f>HYPERLINK("https://petank.ee/juhendid/toila-valla-mv-2024-juhend.pdf","juh")</f>
        <v>juh</v>
      </c>
      <c r="O10" s="394"/>
      <c r="P10" s="401"/>
    </row>
    <row r="11" spans="1:16">
      <c r="A11" s="287"/>
      <c r="B11" s="288">
        <v>6</v>
      </c>
      <c r="C11" s="289" t="str">
        <f>HYPERLINK("#V1!A5","Voka XI KV")</f>
        <v>Voka XI KV</v>
      </c>
      <c r="D11" s="288">
        <v>7</v>
      </c>
      <c r="E11" s="290"/>
      <c r="F11" s="288">
        <v>8</v>
      </c>
      <c r="G11" s="291"/>
      <c r="H11" s="292">
        <v>9</v>
      </c>
      <c r="I11" s="291"/>
      <c r="J11" s="288">
        <v>10</v>
      </c>
      <c r="K11" s="400" t="str">
        <f>HYPERLINK("https://www.petanque.ee/index.php?id=103839&amp;cid=1041","Naiste katsekad 2. etapp")</f>
        <v>Naiste katsekad 2. etapp</v>
      </c>
      <c r="L11" s="416">
        <v>11</v>
      </c>
      <c r="M11" s="400" t="str">
        <f>HYPERLINK("https://www.petanque.ee/index.php?id=103839&amp;cid=1042","Naiste katsekad, finaal")</f>
        <v>Naiste katsekad, finaal</v>
      </c>
      <c r="N11" s="416">
        <v>12</v>
      </c>
      <c r="O11" s="394"/>
      <c r="P11" s="401"/>
    </row>
    <row r="12" spans="1:16">
      <c r="A12" s="287"/>
      <c r="B12" s="293"/>
      <c r="C12" s="294" t="s">
        <v>104</v>
      </c>
      <c r="D12" s="295"/>
      <c r="E12" s="278"/>
      <c r="F12" s="276"/>
      <c r="G12" s="291"/>
      <c r="H12" s="293"/>
      <c r="I12" s="291"/>
      <c r="J12" s="293"/>
      <c r="K12" s="403" t="s">
        <v>105</v>
      </c>
      <c r="L12" s="404"/>
      <c r="M12" s="403" t="s">
        <v>106</v>
      </c>
      <c r="N12" s="404"/>
      <c r="O12" s="394"/>
      <c r="P12" s="401"/>
    </row>
    <row r="13" ht="13.05" spans="1:16">
      <c r="A13" s="296"/>
      <c r="B13" s="297"/>
      <c r="C13" s="298" t="str">
        <f>HYPERLINK("https://kaart.delfi.ee//?bookmark=ebd616e171f4882941c876d5ba118858","Voka staadion")</f>
        <v>Voka staadion</v>
      </c>
      <c r="D13" s="299"/>
      <c r="E13" s="285"/>
      <c r="F13" s="282"/>
      <c r="G13" s="300"/>
      <c r="H13" s="297"/>
      <c r="I13" s="300"/>
      <c r="J13" s="297"/>
      <c r="K13" s="417" t="str">
        <f>HYPERLINK("https://kaart.delfi.ee/?bookmark=73a75c2d8ed4a34c764e205c87288d20","Harku, Pikk 19")</f>
        <v>Harku, Pikk 19</v>
      </c>
      <c r="L13" s="418"/>
      <c r="M13" s="419" t="str">
        <f>HYPERLINK("https://kaart.delfi.ee/?bookmark=73a75c2d8ed4a34c764e205c87288d20","Harku, Pikk 19")</f>
        <v>Harku, Pikk 19</v>
      </c>
      <c r="N13" s="420"/>
      <c r="O13" s="394"/>
      <c r="P13" s="394"/>
    </row>
    <row r="14" spans="1:18">
      <c r="A14" s="301"/>
      <c r="B14" s="302">
        <v>13</v>
      </c>
      <c r="C14" s="289" t="str">
        <f>HYPERLINK("#V2!A5","Voka XI KV")</f>
        <v>Voka XI KV</v>
      </c>
      <c r="D14" s="302">
        <v>14</v>
      </c>
      <c r="E14" s="303"/>
      <c r="F14" s="302">
        <v>15</v>
      </c>
      <c r="G14" s="304"/>
      <c r="H14" s="305">
        <v>16</v>
      </c>
      <c r="I14" s="368"/>
      <c r="J14" s="421">
        <v>17</v>
      </c>
      <c r="K14" s="422" t="str">
        <f>HYPERLINK("https://www.petanque.ee/index.php?id=103839&amp;cid=1043","7. Klubide sari, 3. etapp")</f>
        <v>7. Klubide sari, 3. etapp</v>
      </c>
      <c r="L14" s="423">
        <v>18</v>
      </c>
      <c r="M14" s="400" t="str">
        <f>HYPERLINK("https://www.petanque.ee/index.php?id=103839&amp;cid=1044","EM katsekad, finaal")</f>
        <v>EM katsekad, finaal</v>
      </c>
      <c r="N14" s="424">
        <v>19</v>
      </c>
      <c r="O14" s="394"/>
      <c r="P14" s="401"/>
      <c r="R14" s="521"/>
    </row>
    <row r="15" spans="1:16">
      <c r="A15" s="287"/>
      <c r="B15" s="293"/>
      <c r="C15" s="294" t="s">
        <v>107</v>
      </c>
      <c r="D15" s="295"/>
      <c r="E15" s="306"/>
      <c r="F15" s="293"/>
      <c r="G15" s="291"/>
      <c r="H15" s="293"/>
      <c r="I15" s="291"/>
      <c r="J15" s="425"/>
      <c r="K15" s="426" t="s">
        <v>108</v>
      </c>
      <c r="L15" s="404"/>
      <c r="M15" s="403" t="s">
        <v>102</v>
      </c>
      <c r="N15" s="404"/>
      <c r="O15" s="394"/>
      <c r="P15" s="401"/>
    </row>
    <row r="16" ht="13.05" spans="1:16">
      <c r="A16" s="287"/>
      <c r="B16" s="307"/>
      <c r="C16" s="298" t="str">
        <f>HYPERLINK("https://kaart.delfi.ee//?bookmark=ebd616e171f4882941c876d5ba118858","Voka staadion")</f>
        <v>Voka staadion</v>
      </c>
      <c r="D16" s="308"/>
      <c r="E16" s="306"/>
      <c r="F16" s="307"/>
      <c r="G16" s="291"/>
      <c r="H16" s="307"/>
      <c r="I16" s="291"/>
      <c r="J16" s="427"/>
      <c r="K16" s="428" t="str">
        <f>HYPERLINK("https://kaart.delfi.ee/?bookmark=73a75c2d8ed4a34c764e205c87288d20","Harku, Pikk 19")</f>
        <v>Harku, Pikk 19</v>
      </c>
      <c r="L16" s="429"/>
      <c r="M16" s="430" t="str">
        <f>HYPERLINK("https://kaart.delfi.ee/?bookmark=73a75c2d8ed4a34c764e205c87288d20","Harku, Pikk 19")</f>
        <v>Harku, Pikk 19</v>
      </c>
      <c r="N16" s="431"/>
      <c r="O16" s="394"/>
      <c r="P16" s="401"/>
    </row>
    <row r="17" spans="1:16">
      <c r="A17" s="287"/>
      <c r="B17" s="307"/>
      <c r="C17" s="309"/>
      <c r="D17" s="308"/>
      <c r="E17" s="306"/>
      <c r="F17" s="307"/>
      <c r="G17" s="291"/>
      <c r="H17" s="307"/>
      <c r="I17" s="291"/>
      <c r="J17" s="427"/>
      <c r="K17" s="432"/>
      <c r="L17" s="433"/>
      <c r="M17" s="434" t="str">
        <f>HYPERLINK("#'iv-ü'!A5","Ida-Virumaa MV")</f>
        <v>Ida-Virumaa MV</v>
      </c>
      <c r="N17" s="435"/>
      <c r="O17" s="394"/>
      <c r="P17" s="401"/>
    </row>
    <row r="18" spans="1:16">
      <c r="A18" s="287"/>
      <c r="B18" s="307"/>
      <c r="C18" s="309"/>
      <c r="D18" s="308"/>
      <c r="E18" s="306"/>
      <c r="F18" s="307"/>
      <c r="G18" s="291"/>
      <c r="H18" s="307"/>
      <c r="I18" s="291"/>
      <c r="J18" s="427"/>
      <c r="K18" s="432"/>
      <c r="L18" s="433"/>
      <c r="M18" s="436" t="s">
        <v>109</v>
      </c>
      <c r="N18" s="437"/>
      <c r="O18" s="394"/>
      <c r="P18" s="401"/>
    </row>
    <row r="19" ht="13.05" spans="1:16">
      <c r="A19" s="310"/>
      <c r="B19" s="311"/>
      <c r="C19" s="312"/>
      <c r="D19" s="313"/>
      <c r="E19" s="314"/>
      <c r="F19" s="311"/>
      <c r="G19" s="315"/>
      <c r="H19" s="311"/>
      <c r="I19" s="315"/>
      <c r="J19" s="438"/>
      <c r="K19" s="439"/>
      <c r="L19" s="440"/>
      <c r="M19" s="441" t="str">
        <f>HYPERLINK("http://kaart.delfi.ee//?bookmark=ebd616e171f4882941c876d5ba118858","Voka staadion")</f>
        <v>Voka staadion</v>
      </c>
      <c r="N19" s="442"/>
      <c r="O19" s="394"/>
      <c r="P19" s="401"/>
    </row>
    <row r="20" spans="1:16">
      <c r="A20" s="277"/>
      <c r="B20" s="316">
        <v>20</v>
      </c>
      <c r="C20" s="291"/>
      <c r="D20" s="316">
        <v>21</v>
      </c>
      <c r="E20" s="290"/>
      <c r="F20" s="316">
        <v>22</v>
      </c>
      <c r="G20" s="275"/>
      <c r="H20" s="317">
        <v>23</v>
      </c>
      <c r="I20" s="357"/>
      <c r="J20" s="317">
        <v>24</v>
      </c>
      <c r="K20" s="443" t="str">
        <f>HYPERLINK("https://www.petanque.ee/index.php?id=103839&amp;cid=1045","34. Eesti MV")</f>
        <v>34. Eesti MV</v>
      </c>
      <c r="L20" s="316">
        <v>25</v>
      </c>
      <c r="M20" s="444" t="str">
        <f>HYPERLINK("https://www.petanque.ee/index.php?id=103839&amp;cid=1046","4. Eesti MV")</f>
        <v>4. Eesti MV</v>
      </c>
      <c r="N20" s="317">
        <v>26</v>
      </c>
      <c r="O20" s="394"/>
      <c r="P20" s="401"/>
    </row>
    <row r="21" spans="1:16">
      <c r="A21" s="277"/>
      <c r="B21" s="276"/>
      <c r="C21" s="291"/>
      <c r="D21" s="276"/>
      <c r="E21" s="278"/>
      <c r="F21" s="276"/>
      <c r="G21" s="275"/>
      <c r="H21" s="276"/>
      <c r="I21" s="380"/>
      <c r="J21" s="280"/>
      <c r="K21" s="445" t="s">
        <v>109</v>
      </c>
      <c r="L21" s="293"/>
      <c r="M21" s="445" t="s">
        <v>110</v>
      </c>
      <c r="N21" s="446"/>
      <c r="O21" s="394"/>
      <c r="P21" s="401"/>
    </row>
    <row r="22" ht="13.05" spans="1:16">
      <c r="A22" s="318"/>
      <c r="B22" s="319"/>
      <c r="C22" s="300"/>
      <c r="D22" s="319"/>
      <c r="E22" s="285"/>
      <c r="F22" s="282"/>
      <c r="G22" s="320"/>
      <c r="H22" s="319"/>
      <c r="I22" s="447"/>
      <c r="J22" s="342"/>
      <c r="K22" s="448" t="str">
        <f>HYPERLINK("https://kaart.delfi.ee?bookmark=930156928595c3683983496363018260","Väätsa (Järvamaa)")</f>
        <v>Väätsa (Järvamaa)</v>
      </c>
      <c r="L22" s="297"/>
      <c r="M22" s="448" t="str">
        <f>HYPERLINK("https://kaart.delfi.ee?bookmark=930156928595c3683983496363018260","Väätsa (Järvamaa)")</f>
        <v>Väätsa (Järvamaa)</v>
      </c>
      <c r="N22" s="449"/>
      <c r="O22" s="394"/>
      <c r="P22" s="401"/>
    </row>
    <row r="23" spans="1:16">
      <c r="A23" s="321"/>
      <c r="B23" s="322">
        <v>27</v>
      </c>
      <c r="C23" s="323"/>
      <c r="D23" s="324">
        <v>28</v>
      </c>
      <c r="E23" s="325"/>
      <c r="F23" s="270">
        <v>29</v>
      </c>
      <c r="G23" s="323"/>
      <c r="H23" s="324">
        <v>30</v>
      </c>
      <c r="I23" s="325"/>
      <c r="J23" s="270">
        <v>31</v>
      </c>
      <c r="K23" s="450"/>
      <c r="L23" s="258"/>
      <c r="M23" s="258"/>
      <c r="N23" s="258"/>
      <c r="O23" s="394"/>
      <c r="P23" s="394"/>
    </row>
    <row r="24" ht="13.05" spans="1:16">
      <c r="A24" s="277"/>
      <c r="B24" s="266"/>
      <c r="C24" s="275"/>
      <c r="D24" s="280"/>
      <c r="E24" s="266"/>
      <c r="F24" s="276"/>
      <c r="G24" s="326"/>
      <c r="H24" s="327"/>
      <c r="K24" s="451"/>
      <c r="L24" s="452"/>
      <c r="M24" s="453"/>
      <c r="N24" s="453"/>
      <c r="O24" s="394"/>
      <c r="P24" s="401"/>
    </row>
    <row r="25" ht="13.8" spans="1:16">
      <c r="A25" s="328"/>
      <c r="B25" s="329"/>
      <c r="C25" s="330"/>
      <c r="D25" s="331"/>
      <c r="E25" s="332"/>
      <c r="F25" s="332"/>
      <c r="G25" s="333"/>
      <c r="H25" s="334"/>
      <c r="I25" s="333"/>
      <c r="J25" s="454"/>
      <c r="K25" s="455" t="str">
        <f>HYPERLINK("","21. ESL individ-võistk")</f>
        <v>21. ESL individ-võistk</v>
      </c>
      <c r="L25" s="324">
        <v>1</v>
      </c>
      <c r="M25" s="456" t="str">
        <f>HYPERLINK("#'TMV-d'!A5","Toila valla lahtised MV")</f>
        <v>Toila valla lahtised MV</v>
      </c>
      <c r="N25" s="457">
        <v>2</v>
      </c>
      <c r="O25" s="394"/>
      <c r="P25" s="401"/>
    </row>
    <row r="26" spans="1:16">
      <c r="A26" s="806" t="s">
        <v>30</v>
      </c>
      <c r="B26" s="264"/>
      <c r="C26" s="265"/>
      <c r="D26" s="266"/>
      <c r="G26" s="256"/>
      <c r="H26" s="256"/>
      <c r="I26" s="256"/>
      <c r="J26" s="256"/>
      <c r="K26" s="458" t="s">
        <v>111</v>
      </c>
      <c r="L26" s="459"/>
      <c r="M26" s="460" t="s">
        <v>105</v>
      </c>
      <c r="N26" s="461"/>
      <c r="O26" s="394"/>
      <c r="P26" s="401"/>
    </row>
    <row r="27" spans="1:16">
      <c r="A27" s="335"/>
      <c r="B27" s="335"/>
      <c r="C27" s="335"/>
      <c r="D27" s="336"/>
      <c r="E27" s="336"/>
      <c r="F27" s="266"/>
      <c r="G27" s="256"/>
      <c r="H27" s="256"/>
      <c r="I27" s="256"/>
      <c r="J27" s="256"/>
      <c r="K27" s="462" t="str">
        <f>HYPERLINK("http://kaart.delfi.ee//?bookmark=ebd616e171f4882941c876d5ba118858","Voka staadion")</f>
        <v>Voka staadion</v>
      </c>
      <c r="L27" s="463" t="str">
        <f>HYPERLINK("https://petank.ee/juhendid/esl-2024-juhend.pdf","juh")</f>
        <v>juh</v>
      </c>
      <c r="M27" s="464" t="str">
        <f>HYPERLINK("http://kaart.delfi.ee//?bookmark=ebd616e171f4882941c876d5ba118858","Voka staadion")</f>
        <v>Voka staadion</v>
      </c>
      <c r="N27" s="465"/>
      <c r="O27" s="394"/>
      <c r="P27" s="401"/>
    </row>
    <row r="28" spans="1:16">
      <c r="A28" s="323"/>
      <c r="B28" s="324">
        <v>3</v>
      </c>
      <c r="C28" s="337" t="str">
        <f>HYPERLINK("#V3!A5","Voka XI KV")</f>
        <v>Voka XI KV</v>
      </c>
      <c r="D28" s="322">
        <v>4</v>
      </c>
      <c r="E28" s="272"/>
      <c r="F28" s="322">
        <v>5</v>
      </c>
      <c r="G28" s="338"/>
      <c r="H28" s="322">
        <v>6</v>
      </c>
      <c r="I28" s="323"/>
      <c r="J28" s="324">
        <v>7</v>
      </c>
      <c r="K28" s="466" t="str">
        <f>HYPERLINK("https://www.petanque.ee/index.php?id=103839&amp;cid=1047","33. Eesti MV")</f>
        <v>33. Eesti MV</v>
      </c>
      <c r="L28" s="316">
        <v>8</v>
      </c>
      <c r="M28" s="466" t="str">
        <f>HYPERLINK("https://www.petanque.ee/index.php?id=103839&amp;cid=1048","19. Eesti MV")</f>
        <v>19. Eesti MV</v>
      </c>
      <c r="N28" s="467">
        <v>9</v>
      </c>
      <c r="O28" s="394"/>
      <c r="P28" s="394"/>
    </row>
    <row r="29" spans="1:16">
      <c r="A29" s="275"/>
      <c r="B29" s="280"/>
      <c r="C29" s="339" t="s">
        <v>112</v>
      </c>
      <c r="D29" s="340"/>
      <c r="E29" s="278"/>
      <c r="F29" s="276"/>
      <c r="G29" s="341"/>
      <c r="H29" s="276"/>
      <c r="I29" s="275"/>
      <c r="J29" s="280"/>
      <c r="K29" s="445" t="s">
        <v>105</v>
      </c>
      <c r="L29" s="276"/>
      <c r="M29" s="445" t="s">
        <v>113</v>
      </c>
      <c r="N29" s="280"/>
      <c r="O29" s="394"/>
      <c r="P29" s="394"/>
    </row>
    <row r="30" ht="13.05" spans="1:16">
      <c r="A30" s="320"/>
      <c r="B30" s="342"/>
      <c r="C30" s="343" t="str">
        <f>HYPERLINK("https://kaart.delfi.ee//?bookmark=ebd616e171f4882941c876d5ba118858","Voka staadion")</f>
        <v>Voka staadion</v>
      </c>
      <c r="D30" s="344"/>
      <c r="E30" s="285"/>
      <c r="F30" s="282"/>
      <c r="G30" s="345"/>
      <c r="H30" s="346"/>
      <c r="I30" s="320"/>
      <c r="J30" s="360"/>
      <c r="K30" s="468" t="str">
        <f>HYPERLINK("https://kaart.delfi.ee//?bookmark=2bb384d42ffa0c5e5f7907ddcf503cac","Võru")</f>
        <v>Võru</v>
      </c>
      <c r="L30" s="282"/>
      <c r="M30" s="468" t="str">
        <f>HYPERLINK("https://kaart.delfi.ee//?bookmark=2bb384d42ffa0c5e5f7907ddcf503cac","Võru")</f>
        <v>Võru</v>
      </c>
      <c r="N30" s="360"/>
      <c r="O30" s="394"/>
      <c r="P30" s="394"/>
    </row>
    <row r="31" spans="1:16">
      <c r="A31" s="275"/>
      <c r="B31" s="317">
        <v>10</v>
      </c>
      <c r="C31" s="291"/>
      <c r="D31" s="316">
        <v>11</v>
      </c>
      <c r="E31" s="275"/>
      <c r="F31" s="316">
        <v>12</v>
      </c>
      <c r="G31" s="323"/>
      <c r="H31" s="322">
        <v>13</v>
      </c>
      <c r="I31" s="275"/>
      <c r="J31" s="316">
        <v>14</v>
      </c>
      <c r="K31" s="272"/>
      <c r="L31" s="316">
        <v>15</v>
      </c>
      <c r="M31" s="272"/>
      <c r="N31" s="317">
        <v>16</v>
      </c>
      <c r="O31" s="401"/>
      <c r="P31" s="394"/>
    </row>
    <row r="32" spans="1:16">
      <c r="A32" s="275"/>
      <c r="B32" s="347"/>
      <c r="C32" s="291"/>
      <c r="D32" s="266"/>
      <c r="E32" s="275"/>
      <c r="F32" s="266"/>
      <c r="G32" s="275"/>
      <c r="H32" s="276"/>
      <c r="I32" s="275"/>
      <c r="J32" s="266"/>
      <c r="K32" s="278"/>
      <c r="L32" s="266"/>
      <c r="M32" s="278"/>
      <c r="N32" s="347"/>
      <c r="O32" s="401"/>
      <c r="P32" s="394"/>
    </row>
    <row r="33" ht="13.05" spans="1:16">
      <c r="A33" s="275"/>
      <c r="B33" s="347"/>
      <c r="C33" s="300"/>
      <c r="D33" s="266"/>
      <c r="E33" s="275"/>
      <c r="F33" s="266"/>
      <c r="G33" s="320"/>
      <c r="H33" s="274"/>
      <c r="I33" s="277"/>
      <c r="J33" s="469"/>
      <c r="K33" s="285"/>
      <c r="L33" s="470"/>
      <c r="M33" s="285"/>
      <c r="N33" s="347"/>
      <c r="O33" s="394"/>
      <c r="P33" s="394"/>
    </row>
    <row r="34" spans="1:16">
      <c r="A34" s="323"/>
      <c r="B34" s="324">
        <v>17</v>
      </c>
      <c r="C34" s="337" t="str">
        <f>HYPERLINK("#V4!A5","Voka XI KV")</f>
        <v>Voka XI KV</v>
      </c>
      <c r="D34" s="322">
        <v>18</v>
      </c>
      <c r="E34" s="321"/>
      <c r="F34" s="322">
        <v>19</v>
      </c>
      <c r="G34" s="321"/>
      <c r="H34" s="322">
        <v>20</v>
      </c>
      <c r="I34" s="471"/>
      <c r="J34" s="322">
        <v>21</v>
      </c>
      <c r="K34" s="321"/>
      <c r="L34" s="322">
        <v>22</v>
      </c>
      <c r="M34" s="472" t="str">
        <f>HYPERLINK("Jaanipäeva pliks-plaks","Jaanipäeva pliks-plaks")</f>
        <v>Jaanipäeva pliks-plaks</v>
      </c>
      <c r="N34" s="473">
        <v>23</v>
      </c>
      <c r="O34" s="394"/>
      <c r="P34" s="394"/>
    </row>
    <row r="35" spans="1:16">
      <c r="A35" s="275"/>
      <c r="B35" s="347"/>
      <c r="C35" s="339" t="s">
        <v>114</v>
      </c>
      <c r="D35" s="348"/>
      <c r="E35" s="275"/>
      <c r="F35" s="276"/>
      <c r="G35" s="275"/>
      <c r="H35" s="266"/>
      <c r="I35" s="275"/>
      <c r="J35" s="469"/>
      <c r="K35" s="275"/>
      <c r="L35" s="266"/>
      <c r="M35" s="458" t="s">
        <v>109</v>
      </c>
      <c r="N35" s="446"/>
      <c r="O35" s="394"/>
      <c r="P35" s="401"/>
    </row>
    <row r="36" ht="13.05" spans="1:16">
      <c r="A36" s="275"/>
      <c r="B36" s="347"/>
      <c r="C36" s="349" t="str">
        <f>HYPERLINK("https://kaart.delfi.ee//?bookmark=ebd616e171f4882941c876d5ba118858","Voka staadion")</f>
        <v>Voka staadion</v>
      </c>
      <c r="D36" s="348"/>
      <c r="E36" s="350"/>
      <c r="F36" s="351"/>
      <c r="G36" s="350"/>
      <c r="H36" s="352"/>
      <c r="I36" s="350"/>
      <c r="J36" s="474"/>
      <c r="K36" s="350"/>
      <c r="L36" s="475"/>
      <c r="M36" s="476" t="str">
        <f>HYPERLINK("http://kaart.delfi.ee//?bookmark=ebd616e171f4882941c876d5ba118858","Voka staadion")</f>
        <v>Voka staadion</v>
      </c>
      <c r="N36" s="477"/>
      <c r="O36" s="394"/>
      <c r="P36" s="394"/>
    </row>
    <row r="37" spans="1:16">
      <c r="A37" s="275"/>
      <c r="B37" s="347"/>
      <c r="C37" s="308"/>
      <c r="D37" s="348"/>
      <c r="E37" s="353"/>
      <c r="F37" s="354"/>
      <c r="G37" s="355"/>
      <c r="H37" s="356" t="s">
        <v>115</v>
      </c>
      <c r="I37" s="354"/>
      <c r="J37" s="354"/>
      <c r="K37" s="354"/>
      <c r="L37" s="354"/>
      <c r="M37" s="354"/>
      <c r="N37" s="478"/>
      <c r="O37" s="394"/>
      <c r="P37" s="394"/>
    </row>
    <row r="38" spans="1:16">
      <c r="A38" s="275"/>
      <c r="B38" s="347"/>
      <c r="C38" s="308"/>
      <c r="D38" s="348"/>
      <c r="E38" s="357"/>
      <c r="F38" s="266"/>
      <c r="G38" s="358"/>
      <c r="H38" s="359" t="s">
        <v>116</v>
      </c>
      <c r="I38" s="266"/>
      <c r="J38" s="266"/>
      <c r="K38" s="266"/>
      <c r="L38" s="266"/>
      <c r="M38" s="266"/>
      <c r="N38" s="479"/>
      <c r="O38" s="394"/>
      <c r="P38" s="394"/>
    </row>
    <row r="39" ht="13.05" spans="1:16">
      <c r="A39" s="320"/>
      <c r="B39" s="360"/>
      <c r="C39" s="299"/>
      <c r="D39" s="361"/>
      <c r="E39" s="362"/>
      <c r="F39" s="363"/>
      <c r="G39" s="364"/>
      <c r="H39" s="363"/>
      <c r="I39" s="363"/>
      <c r="J39" s="480" t="s">
        <v>117</v>
      </c>
      <c r="K39" s="363"/>
      <c r="L39" s="363"/>
      <c r="M39" s="363"/>
      <c r="N39" s="481"/>
      <c r="O39" s="394"/>
      <c r="P39" s="394"/>
    </row>
    <row r="40" spans="1:16">
      <c r="A40" s="323"/>
      <c r="B40" s="365">
        <v>24</v>
      </c>
      <c r="C40" s="325"/>
      <c r="D40" s="322">
        <v>25</v>
      </c>
      <c r="E40" s="323"/>
      <c r="F40" s="324">
        <v>26</v>
      </c>
      <c r="G40" s="323"/>
      <c r="H40" s="322">
        <v>27</v>
      </c>
      <c r="I40" s="323"/>
      <c r="J40" s="324">
        <v>28</v>
      </c>
      <c r="K40" s="323"/>
      <c r="L40" s="324">
        <v>29</v>
      </c>
      <c r="M40" s="323"/>
      <c r="N40" s="467">
        <v>30</v>
      </c>
      <c r="O40" s="394"/>
      <c r="P40" s="394"/>
    </row>
    <row r="41" spans="1:16">
      <c r="A41" s="326"/>
      <c r="B41" s="327"/>
      <c r="C41" s="366"/>
      <c r="D41" s="366"/>
      <c r="E41" s="326"/>
      <c r="F41" s="327"/>
      <c r="G41" s="366"/>
      <c r="H41" s="366"/>
      <c r="I41" s="326"/>
      <c r="J41" s="327"/>
      <c r="K41" s="275"/>
      <c r="L41" s="347"/>
      <c r="M41" s="275"/>
      <c r="N41" s="482"/>
      <c r="O41" s="394"/>
      <c r="P41" s="394"/>
    </row>
    <row r="42" ht="13.05" spans="1:16">
      <c r="A42" s="320"/>
      <c r="B42" s="342"/>
      <c r="C42" s="336"/>
      <c r="D42" s="319"/>
      <c r="E42" s="320"/>
      <c r="F42" s="360"/>
      <c r="G42" s="320"/>
      <c r="H42" s="336"/>
      <c r="I42" s="483"/>
      <c r="J42" s="484"/>
      <c r="K42" s="333"/>
      <c r="L42" s="360"/>
      <c r="M42" s="333"/>
      <c r="N42" s="449"/>
      <c r="O42" s="394"/>
      <c r="P42" s="394"/>
    </row>
    <row r="43" spans="1:16">
      <c r="A43" s="807" t="s">
        <v>44</v>
      </c>
      <c r="B43" s="264"/>
      <c r="C43" s="265"/>
      <c r="D43" s="276"/>
      <c r="E43" s="266"/>
      <c r="F43" s="266"/>
      <c r="G43" s="266"/>
      <c r="H43" s="266"/>
      <c r="I43" s="266"/>
      <c r="J43" s="276"/>
      <c r="O43" s="394"/>
      <c r="P43" s="257"/>
    </row>
    <row r="44" spans="1:16">
      <c r="A44" s="323"/>
      <c r="B44" s="322">
        <v>1</v>
      </c>
      <c r="C44" s="337" t="str">
        <f>HYPERLINK("#V5!A5","Voka XI KV")</f>
        <v>Voka XI KV</v>
      </c>
      <c r="D44" s="367">
        <v>2</v>
      </c>
      <c r="E44" s="272"/>
      <c r="F44" s="322">
        <v>3</v>
      </c>
      <c r="G44" s="368"/>
      <c r="H44" s="369">
        <v>4</v>
      </c>
      <c r="I44" s="485"/>
      <c r="J44" s="322">
        <v>5</v>
      </c>
      <c r="K44" s="486" t="str">
        <f>HYPERLINK("https://www.petanque.ee/index.php?id=103839&amp;cid=1054","34. Eesti MV")</f>
        <v>34. Eesti MV</v>
      </c>
      <c r="L44" s="487">
        <v>6</v>
      </c>
      <c r="M44" s="486" t="str">
        <f>HYPERLINK("https://www.petanque.ee/index.php?id=103839&amp;cid=1055","27. Eesti MV")</f>
        <v>27. Eesti MV</v>
      </c>
      <c r="N44" s="487">
        <v>7</v>
      </c>
      <c r="O44" s="394"/>
      <c r="P44" s="257"/>
    </row>
    <row r="45" spans="1:16">
      <c r="A45" s="275"/>
      <c r="B45" s="266"/>
      <c r="C45" s="339" t="s">
        <v>118</v>
      </c>
      <c r="D45" s="370"/>
      <c r="E45" s="278"/>
      <c r="F45" s="276"/>
      <c r="G45" s="291"/>
      <c r="H45" s="280"/>
      <c r="I45" s="366"/>
      <c r="J45" s="276"/>
      <c r="K45" s="488" t="s">
        <v>103</v>
      </c>
      <c r="L45" s="347"/>
      <c r="M45" s="488" t="s">
        <v>119</v>
      </c>
      <c r="N45" s="489"/>
      <c r="O45" s="394"/>
      <c r="P45" s="257"/>
    </row>
    <row r="46" ht="13.05" spans="1:16">
      <c r="A46" s="320"/>
      <c r="B46" s="336"/>
      <c r="C46" s="343" t="str">
        <f>HYPERLINK("https://kaart.delfi.ee//?bookmark=ebd616e171f4882941c876d5ba118858","Voka staadion")</f>
        <v>Voka staadion</v>
      </c>
      <c r="D46" s="371"/>
      <c r="E46" s="285"/>
      <c r="F46" s="282"/>
      <c r="G46" s="300"/>
      <c r="H46" s="342"/>
      <c r="I46" s="335"/>
      <c r="J46" s="336"/>
      <c r="K46" s="448" t="str">
        <f>HYPERLINK("https://kaart.delfi.ee?bookmark=09630379a4da30e522740f21da260c40","Haapsalu, Paralepa")</f>
        <v>Haapsalu, Paralepa</v>
      </c>
      <c r="L46" s="360"/>
      <c r="M46" s="448" t="str">
        <f>HYPERLINK("https://kaart.delfi.ee?bookmark=09630379a4da30e522740f21da260c40","Haapsalu, Paralepa")</f>
        <v>Haapsalu, Paralepa</v>
      </c>
      <c r="N46" s="360"/>
      <c r="O46" s="394"/>
      <c r="P46" s="257"/>
    </row>
    <row r="47" spans="1:16">
      <c r="A47" s="275"/>
      <c r="B47" s="317">
        <v>8</v>
      </c>
      <c r="C47" s="291"/>
      <c r="D47" s="316">
        <v>9</v>
      </c>
      <c r="E47" s="372"/>
      <c r="F47" s="316">
        <v>10</v>
      </c>
      <c r="G47" s="291"/>
      <c r="H47" s="316">
        <v>11</v>
      </c>
      <c r="I47" s="291"/>
      <c r="J47" s="379">
        <v>12</v>
      </c>
      <c r="K47" s="291"/>
      <c r="L47" s="379">
        <v>13</v>
      </c>
      <c r="M47" s="490" t="str">
        <f>HYPERLINK("#M!A5","3. Maidu karikas")</f>
        <v>3. Maidu karikas</v>
      </c>
      <c r="N47" s="317">
        <v>14</v>
      </c>
      <c r="O47" s="394"/>
      <c r="P47" s="257"/>
    </row>
    <row r="48" spans="1:16">
      <c r="A48" s="275"/>
      <c r="B48" s="280"/>
      <c r="C48" s="291"/>
      <c r="D48" s="276"/>
      <c r="E48" s="373"/>
      <c r="F48" s="280"/>
      <c r="G48" s="291"/>
      <c r="H48" s="280"/>
      <c r="I48" s="291"/>
      <c r="J48" s="280"/>
      <c r="K48" s="291"/>
      <c r="L48" s="276"/>
      <c r="M48" s="491" t="s">
        <v>109</v>
      </c>
      <c r="N48" s="492"/>
      <c r="O48" s="394"/>
      <c r="P48" s="401"/>
    </row>
    <row r="49" spans="1:16">
      <c r="A49" s="275"/>
      <c r="B49" s="276"/>
      <c r="C49" s="291"/>
      <c r="D49" s="276"/>
      <c r="E49" s="373"/>
      <c r="F49" s="280"/>
      <c r="G49" s="291"/>
      <c r="H49" s="280"/>
      <c r="I49" s="291"/>
      <c r="J49" s="280"/>
      <c r="K49" s="291"/>
      <c r="L49" s="280"/>
      <c r="M49" s="493" t="str">
        <f>HYPERLINK("https://kaart.delfi.ee/?bookmark=521b80d6ceeefbe3e5d227267242b206","K-Järve spordihoone")</f>
        <v>K-Järve spordihoone</v>
      </c>
      <c r="N49" s="492"/>
      <c r="O49" s="394"/>
      <c r="P49" s="401"/>
    </row>
    <row r="50" spans="1:16">
      <c r="A50" s="275"/>
      <c r="B50" s="276"/>
      <c r="C50" s="291"/>
      <c r="D50" s="276"/>
      <c r="E50" s="373"/>
      <c r="F50" s="276"/>
      <c r="G50" s="374"/>
      <c r="H50" s="375"/>
      <c r="I50" s="494"/>
      <c r="J50" s="495" t="s">
        <v>120</v>
      </c>
      <c r="K50" s="496"/>
      <c r="L50" s="375"/>
      <c r="M50" s="496"/>
      <c r="N50" s="497"/>
      <c r="O50" s="394"/>
      <c r="P50" s="401"/>
    </row>
    <row r="51" spans="1:16">
      <c r="A51" s="320"/>
      <c r="B51" s="319"/>
      <c r="C51" s="300"/>
      <c r="D51" s="319"/>
      <c r="E51" s="376"/>
      <c r="F51" s="319"/>
      <c r="G51" s="377"/>
      <c r="H51" s="378"/>
      <c r="I51" s="498"/>
      <c r="J51" s="378"/>
      <c r="K51" s="499" t="s">
        <v>121</v>
      </c>
      <c r="L51" s="500"/>
      <c r="M51" s="501"/>
      <c r="N51" s="502"/>
      <c r="O51" s="394"/>
      <c r="P51" s="401"/>
    </row>
    <row r="52" spans="1:16">
      <c r="A52" s="275"/>
      <c r="B52" s="316">
        <v>15</v>
      </c>
      <c r="C52" s="337" t="str">
        <f>HYPERLINK("#V6!A5","Voka XI KV")</f>
        <v>Voka XI KV</v>
      </c>
      <c r="D52" s="316">
        <v>16</v>
      </c>
      <c r="E52" s="272"/>
      <c r="F52" s="379">
        <v>17</v>
      </c>
      <c r="G52" s="357"/>
      <c r="H52" s="317">
        <v>18</v>
      </c>
      <c r="I52" s="275"/>
      <c r="J52" s="316">
        <v>19</v>
      </c>
      <c r="K52" s="323"/>
      <c r="L52" s="317">
        <v>20</v>
      </c>
      <c r="M52" s="323"/>
      <c r="N52" s="317">
        <v>21</v>
      </c>
      <c r="O52" s="394"/>
      <c r="P52" s="401"/>
    </row>
    <row r="53" spans="1:16">
      <c r="A53" s="275"/>
      <c r="B53" s="266"/>
      <c r="C53" s="339" t="s">
        <v>122</v>
      </c>
      <c r="D53" s="348"/>
      <c r="E53" s="278"/>
      <c r="F53" s="276"/>
      <c r="G53" s="380"/>
      <c r="H53" s="381"/>
      <c r="I53" s="275"/>
      <c r="J53" s="276"/>
      <c r="K53" s="275"/>
      <c r="L53" s="280"/>
      <c r="M53" s="275"/>
      <c r="N53" s="347"/>
      <c r="O53" s="394"/>
      <c r="P53" s="257"/>
    </row>
    <row r="54" spans="1:16">
      <c r="A54" s="275"/>
      <c r="B54" s="266"/>
      <c r="C54" s="343" t="str">
        <f>HYPERLINK("https://kaart.delfi.ee//?bookmark=ebd616e171f4882941c876d5ba118858","Voka staadion")</f>
        <v>Voka staadion</v>
      </c>
      <c r="D54" s="348"/>
      <c r="E54" s="279"/>
      <c r="F54" s="276"/>
      <c r="G54" s="382"/>
      <c r="H54" s="347"/>
      <c r="I54" s="275"/>
      <c r="J54" s="387"/>
      <c r="K54" s="503"/>
      <c r="L54" s="347"/>
      <c r="M54" s="503"/>
      <c r="N54" s="347"/>
      <c r="O54" s="394"/>
      <c r="P54" s="257"/>
    </row>
    <row r="55" spans="1:16">
      <c r="A55" s="323"/>
      <c r="B55" s="324">
        <v>22</v>
      </c>
      <c r="C55" s="337" t="str">
        <f>HYPERLINK("#V7!A5","Voka XI KV")</f>
        <v>Voka XI KV</v>
      </c>
      <c r="D55" s="322">
        <v>23</v>
      </c>
      <c r="E55" s="372"/>
      <c r="F55" s="367">
        <v>24</v>
      </c>
      <c r="G55" s="368"/>
      <c r="H55" s="322">
        <v>25</v>
      </c>
      <c r="I55" s="323"/>
      <c r="J55" s="324">
        <v>26</v>
      </c>
      <c r="K55" s="504" t="str">
        <f>HYPERLINK("https://www.petanque.ee/index.php?id=103839&amp;cid=1060","20. Klubide karikas")</f>
        <v>20. Klubide karikas</v>
      </c>
      <c r="L55" s="322">
        <v>27</v>
      </c>
      <c r="M55" s="505" t="str">
        <f>HYPERLINK("https://www.petanque.ee/index.php?id=103839&amp;cid=1061","20. Klubide karikas")</f>
        <v>20. Klubide karikas</v>
      </c>
      <c r="N55" s="324">
        <v>28</v>
      </c>
      <c r="O55" s="394"/>
      <c r="P55" s="257"/>
    </row>
    <row r="56" spans="1:16">
      <c r="A56" s="275"/>
      <c r="B56" s="280"/>
      <c r="C56" s="339" t="s">
        <v>123</v>
      </c>
      <c r="D56" s="383"/>
      <c r="E56" s="373"/>
      <c r="F56" s="276"/>
      <c r="G56" s="291"/>
      <c r="H56" s="276"/>
      <c r="I56" s="275"/>
      <c r="J56" s="280"/>
      <c r="K56" s="506" t="s">
        <v>124</v>
      </c>
      <c r="L56" s="404"/>
      <c r="M56" s="506" t="s">
        <v>124</v>
      </c>
      <c r="N56" s="404"/>
      <c r="O56" s="394"/>
      <c r="P56" s="257"/>
    </row>
    <row r="57" ht="13.05" spans="1:16">
      <c r="A57" s="300"/>
      <c r="B57" s="319"/>
      <c r="C57" s="343" t="str">
        <f>HYPERLINK("https://kaart.delfi.ee//?bookmark=ebd616e171f4882941c876d5ba118858","Voka staadion")</f>
        <v>Voka staadion</v>
      </c>
      <c r="D57" s="384"/>
      <c r="E57" s="376"/>
      <c r="F57" s="319"/>
      <c r="G57" s="300"/>
      <c r="H57" s="319"/>
      <c r="I57" s="320"/>
      <c r="J57" s="342"/>
      <c r="K57" s="507" t="str">
        <f>HYPERLINK("https://kaart.delfi.ee?bookmark=930156928595c3683983496363018260","Väätsa (Järvamaa)")</f>
        <v>Väätsa (Järvamaa)</v>
      </c>
      <c r="L57" s="297"/>
      <c r="M57" s="507" t="str">
        <f>HYPERLINK("https://kaart.delfi.ee?bookmark=930156928595c3683983496363018260","Väätsa (Järvamaa)")</f>
        <v>Väätsa (Järvamaa)</v>
      </c>
      <c r="N57" s="449"/>
      <c r="O57" s="394"/>
      <c r="P57" s="257"/>
    </row>
    <row r="58" spans="1:16">
      <c r="A58" s="275"/>
      <c r="B58" s="316">
        <v>29</v>
      </c>
      <c r="C58" s="275"/>
      <c r="D58" s="317">
        <v>30</v>
      </c>
      <c r="E58" s="290"/>
      <c r="F58" s="316">
        <v>31</v>
      </c>
      <c r="G58" s="385"/>
      <c r="H58" s="276"/>
      <c r="I58" s="266"/>
      <c r="J58" s="276"/>
      <c r="K58" s="508"/>
      <c r="L58" s="276"/>
      <c r="M58" s="509"/>
      <c r="N58" s="266"/>
      <c r="O58" s="358"/>
      <c r="P58" s="366"/>
    </row>
    <row r="59" spans="1:16">
      <c r="A59" s="275"/>
      <c r="B59" s="276"/>
      <c r="C59" s="275"/>
      <c r="D59" s="347"/>
      <c r="E59" s="278"/>
      <c r="F59" s="276"/>
      <c r="G59" s="386"/>
      <c r="H59" s="387"/>
      <c r="I59" s="358"/>
      <c r="J59" s="387"/>
      <c r="K59" s="358"/>
      <c r="L59" s="276"/>
      <c r="M59" s="266"/>
      <c r="N59" s="276"/>
      <c r="O59" s="358"/>
      <c r="P59" s="366"/>
    </row>
    <row r="60" ht="13.05" spans="1:16">
      <c r="A60" s="320"/>
      <c r="B60" s="319"/>
      <c r="C60" s="320"/>
      <c r="D60" s="360"/>
      <c r="E60" s="285"/>
      <c r="F60" s="282"/>
      <c r="G60" s="388"/>
      <c r="H60" s="389"/>
      <c r="I60" s="510"/>
      <c r="J60" s="511"/>
      <c r="K60" s="510"/>
      <c r="L60" s="512"/>
      <c r="M60" s="513"/>
      <c r="N60" s="514"/>
      <c r="O60" s="394"/>
      <c r="P60" s="257"/>
    </row>
    <row r="61" spans="1:19">
      <c r="A61" s="808" t="s">
        <v>57</v>
      </c>
      <c r="B61" s="390"/>
      <c r="C61" s="391"/>
      <c r="G61" s="392"/>
      <c r="H61" s="324">
        <v>1</v>
      </c>
      <c r="I61" s="323"/>
      <c r="J61" s="322">
        <v>2</v>
      </c>
      <c r="K61" s="515" t="str">
        <f>HYPERLINK("https://www.petanque.ee/index.php?id=103839&amp;cid=1062","3. Eesti MV")</f>
        <v>3. Eesti MV</v>
      </c>
      <c r="L61" s="322">
        <v>3</v>
      </c>
      <c r="M61" s="515" t="str">
        <f>HYPERLINK("https://www.petanque.ee/index.php?id=103839&amp;cid=1063","6. Eesti MV")</f>
        <v>6. Eesti MV</v>
      </c>
      <c r="N61" s="324">
        <v>4</v>
      </c>
      <c r="O61" s="394"/>
      <c r="P61" s="257"/>
      <c r="S61" s="256"/>
    </row>
    <row r="62" spans="7:16">
      <c r="G62" s="385"/>
      <c r="H62" s="280"/>
      <c r="I62" s="275"/>
      <c r="J62" s="266"/>
      <c r="K62" s="516" t="s">
        <v>125</v>
      </c>
      <c r="L62" s="266"/>
      <c r="M62" s="516" t="s">
        <v>126</v>
      </c>
      <c r="N62" s="327"/>
      <c r="O62" s="394"/>
      <c r="P62" s="401"/>
    </row>
    <row r="63" ht="13.05" spans="7:16">
      <c r="G63" s="385"/>
      <c r="H63" s="276"/>
      <c r="I63" s="275"/>
      <c r="J63" s="266"/>
      <c r="K63" s="517" t="str">
        <f>HYPERLINK("https://kaart.delfi.ee/?bookmark=521b80d6ceeefbe3e5d227267242b206","K-Järve spordihoone")</f>
        <v>K-Järve spordihoone</v>
      </c>
      <c r="L63" s="518"/>
      <c r="M63" s="517" t="str">
        <f>HYPERLINK("https://kaart.delfi.ee/?bookmark=521b80d6ceeefbe3e5d227267242b206","K-Järve spordihoone")</f>
        <v>K-Järve spordihoone</v>
      </c>
      <c r="N63" s="519"/>
      <c r="O63" s="394"/>
      <c r="P63" s="394"/>
    </row>
    <row r="64" spans="1:16">
      <c r="A64" s="323"/>
      <c r="B64" s="322">
        <v>5</v>
      </c>
      <c r="C64" s="337" t="str">
        <f>HYPERLINK("#V8!A5","Voka XI KV")</f>
        <v>Voka XI KV</v>
      </c>
      <c r="D64" s="322">
        <v>6</v>
      </c>
      <c r="E64" s="368"/>
      <c r="F64" s="324">
        <v>7</v>
      </c>
      <c r="G64" s="338"/>
      <c r="H64" s="324">
        <v>8</v>
      </c>
      <c r="I64" s="325"/>
      <c r="J64" s="322">
        <v>9</v>
      </c>
      <c r="K64" s="455" t="s">
        <v>127</v>
      </c>
      <c r="L64" s="322">
        <v>10</v>
      </c>
      <c r="M64" s="520" t="str">
        <f>HYPERLINK("https://www.petanque.ee/index.php?id=103839&amp;cid=1064","4. Eesti-Läti maavõistlus")</f>
        <v>4. Eesti-Läti maavõistlus</v>
      </c>
      <c r="N64" s="324">
        <v>11</v>
      </c>
      <c r="O64" s="394"/>
      <c r="P64" s="401"/>
    </row>
    <row r="65" spans="1:16">
      <c r="A65" s="275"/>
      <c r="B65" s="266"/>
      <c r="C65" s="339" t="s">
        <v>128</v>
      </c>
      <c r="D65" s="348"/>
      <c r="E65" s="291"/>
      <c r="F65" s="347"/>
      <c r="G65" s="380"/>
      <c r="H65" s="347"/>
      <c r="I65" s="266"/>
      <c r="J65" s="577"/>
      <c r="K65" s="578" t="s">
        <v>129</v>
      </c>
      <c r="L65" s="266"/>
      <c r="M65" s="579" t="s">
        <v>130</v>
      </c>
      <c r="N65" s="446"/>
      <c r="O65" s="394"/>
      <c r="P65" s="401"/>
    </row>
    <row r="66" spans="1:16">
      <c r="A66" s="275"/>
      <c r="B66" s="266"/>
      <c r="C66" s="343" t="str">
        <f>HYPERLINK("https://kaart.delfi.ee//?bookmark=ebd616e171f4882941c876d5ba118858","Voka staadion")</f>
        <v>Voka staadion</v>
      </c>
      <c r="D66" s="348"/>
      <c r="E66" s="291"/>
      <c r="F66" s="347"/>
      <c r="G66" s="380"/>
      <c r="H66" s="347"/>
      <c r="I66" s="266"/>
      <c r="J66" s="577"/>
      <c r="K66" s="580" t="str">
        <f>HYPERLINK("https://kaart.delfi.ee?bookmark=461dfdd871eb0ee15f146a217da280e4","Jõgeva")</f>
        <v>Jõgeva</v>
      </c>
      <c r="L66" s="266"/>
      <c r="M66" s="581" t="s">
        <v>131</v>
      </c>
      <c r="N66" s="477"/>
      <c r="O66" s="394"/>
      <c r="P66" s="401"/>
    </row>
    <row r="67" spans="1:16">
      <c r="A67" s="275"/>
      <c r="B67" s="266"/>
      <c r="C67" s="309"/>
      <c r="D67" s="348"/>
      <c r="E67" s="291"/>
      <c r="F67" s="266"/>
      <c r="G67" s="380"/>
      <c r="H67" s="347"/>
      <c r="I67" s="266"/>
      <c r="J67" s="577"/>
      <c r="K67" s="279"/>
      <c r="L67" s="266"/>
      <c r="M67" s="582" t="str">
        <f>HYPERLINK("#'I-V-t'!A5","Ida-Virumaa MV")</f>
        <v>Ida-Virumaa MV</v>
      </c>
      <c r="N67" s="583"/>
      <c r="O67" s="394"/>
      <c r="P67" s="401"/>
    </row>
    <row r="68" spans="1:16">
      <c r="A68" s="275"/>
      <c r="B68" s="266"/>
      <c r="C68" s="309"/>
      <c r="D68" s="348"/>
      <c r="E68" s="291"/>
      <c r="F68" s="266"/>
      <c r="G68" s="380"/>
      <c r="H68" s="347"/>
      <c r="I68" s="266"/>
      <c r="J68" s="577"/>
      <c r="K68" s="279"/>
      <c r="L68" s="266"/>
      <c r="M68" s="584" t="s">
        <v>105</v>
      </c>
      <c r="N68" s="585"/>
      <c r="O68" s="394"/>
      <c r="P68" s="401"/>
    </row>
    <row r="69" ht="13.05" spans="1:16">
      <c r="A69" s="320"/>
      <c r="B69" s="336"/>
      <c r="C69" s="522"/>
      <c r="D69" s="361"/>
      <c r="E69" s="300"/>
      <c r="F69" s="336"/>
      <c r="G69" s="447"/>
      <c r="H69" s="360"/>
      <c r="I69" s="336"/>
      <c r="J69" s="586"/>
      <c r="K69" s="525"/>
      <c r="L69" s="336"/>
      <c r="M69" s="587" t="str">
        <f>HYPERLINK("http://kaart.delfi.ee//?bookmark=ebd616e171f4882941c876d5ba118858","Voka staadion")</f>
        <v>Voka staadion</v>
      </c>
      <c r="N69" s="588"/>
      <c r="O69" s="394"/>
      <c r="P69" s="401"/>
    </row>
    <row r="70" spans="1:16">
      <c r="A70" s="275"/>
      <c r="B70" s="316">
        <v>12</v>
      </c>
      <c r="C70" s="291"/>
      <c r="D70" s="316">
        <v>13</v>
      </c>
      <c r="E70" s="290"/>
      <c r="F70" s="316">
        <v>14</v>
      </c>
      <c r="G70" s="357"/>
      <c r="H70" s="316">
        <v>15</v>
      </c>
      <c r="I70" s="530"/>
      <c r="J70" s="324">
        <v>16</v>
      </c>
      <c r="K70" s="589" t="str">
        <f>HYPERLINK("https://www.petanque.ee/index.php?id=103839&amp;cid=1065","48. Eesti omavalitsuste")</f>
        <v>48. Eesti omavalitsuste</v>
      </c>
      <c r="L70" s="316">
        <v>17</v>
      </c>
      <c r="M70" s="589" t="str">
        <f>HYPERLINK("https://www.petanque.ee/index.php?id=103839&amp;cid=1066","48. Eesti omavalitsuste")</f>
        <v>48. Eesti omavalitsuste</v>
      </c>
      <c r="N70" s="317">
        <v>18</v>
      </c>
      <c r="O70" s="394"/>
      <c r="P70" s="401"/>
    </row>
    <row r="71" spans="1:16">
      <c r="A71" s="275"/>
      <c r="B71" s="276"/>
      <c r="C71" s="291"/>
      <c r="D71" s="276"/>
      <c r="E71" s="278"/>
      <c r="F71" s="276"/>
      <c r="G71" s="380"/>
      <c r="H71" s="523"/>
      <c r="I71" s="533"/>
      <c r="J71" s="280"/>
      <c r="K71" s="275" t="s">
        <v>132</v>
      </c>
      <c r="L71" s="266"/>
      <c r="M71" s="275" t="s">
        <v>132</v>
      </c>
      <c r="N71" s="280"/>
      <c r="O71" s="394"/>
      <c r="P71" s="394"/>
    </row>
    <row r="72" spans="1:16">
      <c r="A72" s="275"/>
      <c r="B72" s="266"/>
      <c r="C72" s="291"/>
      <c r="D72" s="266"/>
      <c r="E72" s="279"/>
      <c r="F72" s="276"/>
      <c r="G72" s="524"/>
      <c r="H72" s="276"/>
      <c r="I72" s="535"/>
      <c r="J72" s="347"/>
      <c r="K72" s="275" t="s">
        <v>113</v>
      </c>
      <c r="L72" s="347"/>
      <c r="M72" s="275" t="s">
        <v>113</v>
      </c>
      <c r="N72" s="347"/>
      <c r="O72" s="394"/>
      <c r="P72" s="394"/>
    </row>
    <row r="73" spans="1:16">
      <c r="A73" s="320"/>
      <c r="B73" s="336"/>
      <c r="C73" s="300"/>
      <c r="D73" s="336"/>
      <c r="E73" s="525"/>
      <c r="F73" s="319"/>
      <c r="G73" s="526"/>
      <c r="H73" s="319"/>
      <c r="I73" s="538"/>
      <c r="J73" s="360"/>
      <c r="K73" s="590" t="str">
        <f>HYPERLINK("https://kaart.delfi.ee//?bookmark=6fab7b5d95ba3449968c2f104b525bc2","Kuressaare")</f>
        <v>Kuressaare</v>
      </c>
      <c r="L73" s="360"/>
      <c r="M73" s="590" t="str">
        <f>HYPERLINK("https://kaart.delfi.ee//?bookmark=6fab7b5d95ba3449968c2f104b525bc2","Kuressaare")</f>
        <v>Kuressaare</v>
      </c>
      <c r="N73" s="360"/>
      <c r="O73" s="394"/>
      <c r="P73" s="394"/>
    </row>
    <row r="74" spans="1:16">
      <c r="A74" s="323"/>
      <c r="B74" s="527">
        <v>19</v>
      </c>
      <c r="C74" s="528" t="str">
        <f>HYPERLINK("#V9!A5","Voka XI KV")</f>
        <v>Voka XI KV</v>
      </c>
      <c r="D74" s="529">
        <v>20</v>
      </c>
      <c r="E74" s="530"/>
      <c r="F74" s="369">
        <v>21</v>
      </c>
      <c r="G74" s="531"/>
      <c r="H74" s="527">
        <v>22</v>
      </c>
      <c r="I74" s="520" t="str">
        <f>HYPERLINK("https://www.petanque.ee/index.php?id=103839&amp;cid=1067","11. Warrios Cup")</f>
        <v>11. Warrios Cup</v>
      </c>
      <c r="J74" s="527">
        <v>23</v>
      </c>
      <c r="K74" s="520" t="str">
        <f>HYPERLINK("https://www.petanque.ee/index.php?id=103839&amp;cid=1067","11. Warrios Cup")</f>
        <v>11. Warrios Cup</v>
      </c>
      <c r="L74" s="369">
        <v>24</v>
      </c>
      <c r="M74" s="520" t="str">
        <f>HYPERLINK("https://www.petanque.ee/index.php?id=103839&amp;cid=1068","11. Warrios Cup")</f>
        <v>11. Warrios Cup</v>
      </c>
      <c r="N74" s="369">
        <v>25</v>
      </c>
      <c r="O74" s="394"/>
      <c r="P74" s="394"/>
    </row>
    <row r="75" spans="1:16">
      <c r="A75" s="275"/>
      <c r="B75" s="347"/>
      <c r="C75" s="532" t="s">
        <v>133</v>
      </c>
      <c r="D75" s="340"/>
      <c r="E75" s="533"/>
      <c r="F75" s="280"/>
      <c r="G75" s="523"/>
      <c r="H75" s="266"/>
      <c r="I75" s="591" t="s">
        <v>109</v>
      </c>
      <c r="J75" s="266"/>
      <c r="K75" s="591" t="s">
        <v>105</v>
      </c>
      <c r="L75" s="592"/>
      <c r="M75" s="591" t="s">
        <v>103</v>
      </c>
      <c r="N75" s="327"/>
      <c r="O75" s="394"/>
      <c r="P75" s="394"/>
    </row>
    <row r="76" ht="13.05" spans="1:16">
      <c r="A76" s="275"/>
      <c r="B76" s="347"/>
      <c r="C76" s="534" t="str">
        <f>HYPERLINK("https://kaart.delfi.ee//?bookmark=ebd616e171f4882941c876d5ba118858","Voka staadion")</f>
        <v>Voka staadion</v>
      </c>
      <c r="D76" s="340"/>
      <c r="E76" s="535"/>
      <c r="F76" s="280"/>
      <c r="G76" s="523"/>
      <c r="H76" s="266"/>
      <c r="I76" s="593" t="str">
        <f>HYPERLINK("https://www.google.com/maps/place/Upesciems+petanque+courts/@56.981644,24.3377492,435m/data=!3m1!1e3!4m5!3m4!1s0x46eecdc33c5e2fb3:0x30c87625d54b1fa9!8m2!3d56.9815098!4d24.3390362","Upesciems (Läti)")</f>
        <v>Upesciems (Läti)</v>
      </c>
      <c r="J76" s="266"/>
      <c r="K76" s="593" t="str">
        <f>HYPERLINK("https://www.google.com/maps/place/Upesciems+petanque+courts/@56.981644,24.3377492,435m/data=!3m1!1e3!4m5!3m4!1s0x46eecdc33c5e2fb3:0x30c87625d54b1fa9!8m2!3d56.9815098!4d24.3390362","Upesciems (Läti)")</f>
        <v>Upesciems (Läti)</v>
      </c>
      <c r="L76" s="592"/>
      <c r="M76" s="593" t="str">
        <f>HYPERLINK("https://www.google.com/maps/place/Upesciems+petanque+courts/@56.981644,24.3377492,435m/data=!3m1!1e3!4m5!3m4!1s0x46eecdc33c5e2fb3:0x30c87625d54b1fa9!8m2!3d56.9815098!4d24.3390362","Upesciems (Läti)")</f>
        <v>Upesciems (Läti)</v>
      </c>
      <c r="N76" s="594"/>
      <c r="O76" s="394"/>
      <c r="P76" s="394"/>
    </row>
    <row r="77" spans="1:16">
      <c r="A77" s="275"/>
      <c r="B77" s="347"/>
      <c r="C77" s="536"/>
      <c r="D77" s="340"/>
      <c r="E77" s="535"/>
      <c r="F77" s="280"/>
      <c r="G77" s="523"/>
      <c r="H77" s="266"/>
      <c r="I77" s="275"/>
      <c r="J77" s="266"/>
      <c r="K77" s="595"/>
      <c r="L77" s="592"/>
      <c r="M77" s="582" t="str">
        <f>HYPERLINK("#'I-V-sd'!A5","Ida-Virumaa MV")</f>
        <v>Ida-Virumaa MV</v>
      </c>
      <c r="N77" s="583"/>
      <c r="O77" s="394"/>
      <c r="P77" s="394"/>
    </row>
    <row r="78" spans="1:16">
      <c r="A78" s="275"/>
      <c r="B78" s="347"/>
      <c r="C78" s="536"/>
      <c r="D78" s="340"/>
      <c r="E78" s="535"/>
      <c r="F78" s="280"/>
      <c r="G78" s="523"/>
      <c r="H78" s="266"/>
      <c r="I78" s="275"/>
      <c r="J78" s="266"/>
      <c r="K78" s="595"/>
      <c r="L78" s="592"/>
      <c r="M78" s="596" t="s">
        <v>119</v>
      </c>
      <c r="N78" s="597"/>
      <c r="O78" s="394"/>
      <c r="P78" s="394"/>
    </row>
    <row r="79" ht="13.05" spans="1:16">
      <c r="A79" s="320"/>
      <c r="B79" s="360"/>
      <c r="C79" s="537"/>
      <c r="D79" s="344"/>
      <c r="E79" s="538"/>
      <c r="F79" s="342"/>
      <c r="G79" s="539"/>
      <c r="H79" s="336"/>
      <c r="I79" s="320"/>
      <c r="J79" s="336"/>
      <c r="K79" s="598"/>
      <c r="L79" s="599"/>
      <c r="M79" s="600" t="str">
        <f>HYPERLINK("http://kaart.delfi.ee//?bookmark=ebd616e171f4882941c876d5ba118858","Voka staadion")</f>
        <v>Voka staadion</v>
      </c>
      <c r="N79" s="588"/>
      <c r="O79" s="394"/>
      <c r="P79" s="394"/>
    </row>
    <row r="80" spans="1:16">
      <c r="A80" s="323"/>
      <c r="B80" s="324">
        <v>26</v>
      </c>
      <c r="C80" s="325"/>
      <c r="D80" s="322">
        <v>27</v>
      </c>
      <c r="E80" s="540"/>
      <c r="F80" s="322">
        <v>28</v>
      </c>
      <c r="G80" s="323"/>
      <c r="H80" s="322">
        <v>29</v>
      </c>
      <c r="I80" s="323"/>
      <c r="J80" s="322">
        <v>30</v>
      </c>
      <c r="K80" s="323"/>
      <c r="L80" s="322">
        <v>31</v>
      </c>
      <c r="M80" s="450"/>
      <c r="N80" s="601"/>
      <c r="O80" s="394"/>
      <c r="P80" s="394"/>
    </row>
    <row r="81" ht="13.05" spans="1:16">
      <c r="A81" s="275"/>
      <c r="B81" s="280"/>
      <c r="C81" s="266"/>
      <c r="D81" s="276"/>
      <c r="E81" s="402"/>
      <c r="F81" s="276"/>
      <c r="G81" s="275"/>
      <c r="H81" s="276"/>
      <c r="I81" s="275"/>
      <c r="J81" s="266"/>
      <c r="K81" s="275"/>
      <c r="L81" s="266"/>
      <c r="M81" s="602"/>
      <c r="N81" s="601"/>
      <c r="O81" s="394"/>
      <c r="P81" s="394"/>
    </row>
    <row r="82" ht="13.05" spans="1:15">
      <c r="A82" s="483"/>
      <c r="B82" s="484"/>
      <c r="C82" s="335"/>
      <c r="D82" s="335"/>
      <c r="E82" s="483"/>
      <c r="F82" s="335"/>
      <c r="G82" s="483"/>
      <c r="H82" s="335"/>
      <c r="I82" s="320"/>
      <c r="J82" s="336"/>
      <c r="K82" s="333"/>
      <c r="L82" s="336"/>
      <c r="M82" s="549"/>
      <c r="N82" s="324">
        <v>1</v>
      </c>
      <c r="O82" s="394"/>
    </row>
    <row r="83" spans="1:15">
      <c r="A83" s="809" t="s">
        <v>69</v>
      </c>
      <c r="B83" s="390"/>
      <c r="C83" s="391"/>
      <c r="D83" s="265"/>
      <c r="E83" s="358"/>
      <c r="F83" s="266"/>
      <c r="G83" s="275"/>
      <c r="H83" s="266"/>
      <c r="M83" s="550"/>
      <c r="N83" s="280"/>
      <c r="O83" s="394"/>
    </row>
    <row r="84" spans="7:15">
      <c r="G84" s="275"/>
      <c r="H84" s="266"/>
      <c r="M84" s="603"/>
      <c r="N84" s="286"/>
      <c r="O84" s="394"/>
    </row>
    <row r="85" spans="1:19">
      <c r="A85" s="471"/>
      <c r="B85" s="324">
        <v>2</v>
      </c>
      <c r="C85" s="528" t="str">
        <f>HYPERLINK("#V10!A5","Voka XI KV")</f>
        <v>Voka XI KV</v>
      </c>
      <c r="D85" s="322">
        <v>3</v>
      </c>
      <c r="E85" s="323"/>
      <c r="F85" s="322">
        <v>4</v>
      </c>
      <c r="G85" s="323"/>
      <c r="H85" s="324">
        <v>5</v>
      </c>
      <c r="I85" s="325"/>
      <c r="J85" s="322">
        <v>6</v>
      </c>
      <c r="K85" s="604" t="str">
        <f>HYPERLINK("https://www.petanque.ee/index.php?id=103839&amp;cid=1069","3. Eesti MV")</f>
        <v>3. Eesti MV</v>
      </c>
      <c r="L85" s="324">
        <v>7</v>
      </c>
      <c r="M85" s="604" t="str">
        <f>HYPERLINK("https://www.petanque.ee/index.php?id=103839&amp;cid=1070","1. Eesti MV")</f>
        <v>1. Eesti MV</v>
      </c>
      <c r="N85" s="369">
        <v>8</v>
      </c>
      <c r="O85" s="394"/>
      <c r="P85" s="394"/>
      <c r="S85" s="256"/>
    </row>
    <row r="86" spans="1:16">
      <c r="A86" s="326"/>
      <c r="B86" s="280"/>
      <c r="C86" s="532" t="s">
        <v>134</v>
      </c>
      <c r="D86" s="542"/>
      <c r="E86" s="275"/>
      <c r="F86" s="266"/>
      <c r="G86" s="275"/>
      <c r="H86" s="280"/>
      <c r="I86" s="266"/>
      <c r="J86" s="276"/>
      <c r="K86" s="605" t="s">
        <v>135</v>
      </c>
      <c r="L86" s="280"/>
      <c r="M86" s="605" t="s">
        <v>136</v>
      </c>
      <c r="N86" s="280"/>
      <c r="O86" s="394"/>
      <c r="P86" s="394"/>
    </row>
    <row r="87" ht="13.05" spans="1:16">
      <c r="A87" s="326"/>
      <c r="B87" s="280"/>
      <c r="C87" s="534" t="str">
        <f>HYPERLINK("https://kaart.delfi.ee//?bookmark=ebd616e171f4882941c876d5ba118858","Voka staadion")</f>
        <v>Voka staadion</v>
      </c>
      <c r="D87" s="542"/>
      <c r="E87" s="275"/>
      <c r="F87" s="266"/>
      <c r="G87" s="275"/>
      <c r="H87" s="280"/>
      <c r="I87" s="266"/>
      <c r="J87" s="276"/>
      <c r="K87" s="606" t="str">
        <f>HYPERLINK("https://kaart.delfi.ee/?bookmark=037591353bf9698628b723dab6c5e799","Valga")</f>
        <v>Valga</v>
      </c>
      <c r="L87" s="280"/>
      <c r="M87" s="607" t="str">
        <f>HYPERLINK("https://kaart.delfi.ee/?bookmark=037591353bf9698628b723dab6c5e799","Valga")</f>
        <v>Valga</v>
      </c>
      <c r="N87" s="608"/>
      <c r="O87" s="394"/>
      <c r="P87" s="394"/>
    </row>
    <row r="88" spans="1:16">
      <c r="A88" s="366"/>
      <c r="B88" s="280"/>
      <c r="C88" s="348"/>
      <c r="D88" s="542"/>
      <c r="E88" s="275"/>
      <c r="F88" s="266"/>
      <c r="G88" s="275"/>
      <c r="H88" s="280"/>
      <c r="I88" s="266"/>
      <c r="J88" s="276"/>
      <c r="K88" s="535"/>
      <c r="L88" s="280"/>
      <c r="M88" s="582" t="str">
        <f>HYPERLINK("#'I-V-st'!A5","Ida-Virumaa MV")</f>
        <v>Ida-Virumaa MV</v>
      </c>
      <c r="N88" s="609"/>
      <c r="O88" s="394"/>
      <c r="P88" s="394"/>
    </row>
    <row r="89" spans="1:16">
      <c r="A89" s="366"/>
      <c r="B89" s="280"/>
      <c r="C89" s="348"/>
      <c r="D89" s="542"/>
      <c r="E89" s="275"/>
      <c r="F89" s="266"/>
      <c r="G89" s="275"/>
      <c r="H89" s="280"/>
      <c r="I89" s="266"/>
      <c r="J89" s="276"/>
      <c r="K89" s="535"/>
      <c r="L89" s="280"/>
      <c r="M89" s="596" t="s">
        <v>113</v>
      </c>
      <c r="N89" s="610"/>
      <c r="O89" s="394"/>
      <c r="P89" s="394"/>
    </row>
    <row r="90" ht="13.05" spans="1:16">
      <c r="A90" s="366"/>
      <c r="B90" s="280"/>
      <c r="C90" s="348"/>
      <c r="D90" s="542"/>
      <c r="E90" s="275"/>
      <c r="F90" s="266"/>
      <c r="G90" s="320"/>
      <c r="H90" s="342"/>
      <c r="I90" s="266"/>
      <c r="J90" s="276"/>
      <c r="K90" s="538"/>
      <c r="L90" s="342"/>
      <c r="M90" s="600" t="str">
        <f>HYPERLINK("http://kaart.delfi.ee//?bookmark=ebd616e171f4882941c876d5ba118858","Voka staadion")</f>
        <v>Voka staadion</v>
      </c>
      <c r="N90" s="610"/>
      <c r="O90" s="394"/>
      <c r="P90" s="394"/>
    </row>
    <row r="91" spans="1:15">
      <c r="A91" s="272"/>
      <c r="B91" s="324">
        <v>9</v>
      </c>
      <c r="C91" s="325"/>
      <c r="D91" s="322">
        <v>10</v>
      </c>
      <c r="E91" s="323"/>
      <c r="F91" s="322">
        <v>11</v>
      </c>
      <c r="G91" s="323"/>
      <c r="H91" s="322">
        <v>12</v>
      </c>
      <c r="I91" s="323"/>
      <c r="J91" s="322">
        <v>13</v>
      </c>
      <c r="K91" s="323"/>
      <c r="L91" s="324">
        <v>14</v>
      </c>
      <c r="M91" s="611" t="str">
        <f>HYPERLINK("#'TMV-d'!A5","Toila valla lahtised MV")</f>
        <v>Toila valla lahtised MV</v>
      </c>
      <c r="N91" s="324">
        <v>15</v>
      </c>
      <c r="O91" s="394"/>
    </row>
    <row r="92" spans="1:15">
      <c r="A92" s="278"/>
      <c r="B92" s="280"/>
      <c r="C92" s="266"/>
      <c r="D92" s="276"/>
      <c r="E92" s="275"/>
      <c r="F92" s="276"/>
      <c r="G92" s="275"/>
      <c r="H92" s="266"/>
      <c r="I92" s="275"/>
      <c r="J92" s="266"/>
      <c r="K92" s="275"/>
      <c r="L92" s="266"/>
      <c r="M92" s="612" t="s">
        <v>109</v>
      </c>
      <c r="N92" s="461"/>
      <c r="O92" s="394"/>
    </row>
    <row r="93" ht="13.05" spans="1:15">
      <c r="A93" s="285"/>
      <c r="B93" s="543"/>
      <c r="C93" s="544"/>
      <c r="D93" s="545"/>
      <c r="E93" s="546"/>
      <c r="F93" s="545"/>
      <c r="G93" s="546"/>
      <c r="H93" s="544"/>
      <c r="I93" s="546"/>
      <c r="J93" s="544"/>
      <c r="K93" s="546"/>
      <c r="L93" s="544"/>
      <c r="M93" s="613" t="str">
        <f>HYPERLINK("http://kaart.delfi.ee//?bookmark=ebd616e171f4882941c876d5ba118858","Voka staadion")</f>
        <v>Voka staadion</v>
      </c>
      <c r="N93" s="614"/>
      <c r="O93" s="394"/>
    </row>
    <row r="94" spans="1:19">
      <c r="A94" s="323"/>
      <c r="B94" s="322">
        <v>16</v>
      </c>
      <c r="C94" s="323"/>
      <c r="D94" s="322">
        <v>17</v>
      </c>
      <c r="E94" s="368"/>
      <c r="F94" s="322">
        <v>18</v>
      </c>
      <c r="G94" s="323"/>
      <c r="H94" s="322">
        <v>19</v>
      </c>
      <c r="I94" s="323"/>
      <c r="J94" s="322">
        <v>20</v>
      </c>
      <c r="K94" s="323"/>
      <c r="L94" s="322">
        <v>21</v>
      </c>
      <c r="M94" s="615" t="str">
        <f>HYPERLINK("https://www.petanque.ee/index.php?id=103839&amp;cid=1071","24. Eesti MV")</f>
        <v>24. Eesti MV</v>
      </c>
      <c r="N94" s="467">
        <v>22</v>
      </c>
      <c r="O94" s="394"/>
      <c r="S94" s="256"/>
    </row>
    <row r="95" spans="1:15">
      <c r="A95" s="275"/>
      <c r="B95" s="469"/>
      <c r="C95" s="275"/>
      <c r="D95" s="266"/>
      <c r="E95" s="291"/>
      <c r="F95" s="469"/>
      <c r="G95" s="266"/>
      <c r="H95" s="266"/>
      <c r="I95" s="277"/>
      <c r="J95" s="469"/>
      <c r="K95" s="275"/>
      <c r="L95" s="266"/>
      <c r="M95" s="616" t="s">
        <v>137</v>
      </c>
      <c r="N95" s="479"/>
      <c r="O95" s="394"/>
    </row>
    <row r="96" ht="13.05" spans="1:15">
      <c r="A96" s="320"/>
      <c r="B96" s="547"/>
      <c r="C96" s="320"/>
      <c r="D96" s="336"/>
      <c r="E96" s="300"/>
      <c r="F96" s="547"/>
      <c r="G96" s="336"/>
      <c r="H96" s="336"/>
      <c r="I96" s="318"/>
      <c r="J96" s="547"/>
      <c r="K96" s="320"/>
      <c r="L96" s="336"/>
      <c r="M96" s="617" t="str">
        <f>HYPERLINK("https://kaart.delfi.ee/?bookmark=73a75c2d8ed4a34c764e205c87288d20","Harku, Pikk 19")</f>
        <v>Harku, Pikk 19</v>
      </c>
      <c r="N96" s="449"/>
      <c r="O96" s="394"/>
    </row>
    <row r="97" spans="1:15">
      <c r="A97" s="275"/>
      <c r="B97" s="316">
        <v>23</v>
      </c>
      <c r="C97" s="275"/>
      <c r="D97" s="316">
        <v>24</v>
      </c>
      <c r="E97" s="275"/>
      <c r="F97" s="316">
        <v>25</v>
      </c>
      <c r="G97" s="275"/>
      <c r="H97" s="316">
        <v>26</v>
      </c>
      <c r="I97" s="275"/>
      <c r="J97" s="317">
        <v>27</v>
      </c>
      <c r="K97" s="275"/>
      <c r="L97" s="618">
        <v>28</v>
      </c>
      <c r="M97" s="619" t="str">
        <f>HYPERLINK("#'I-V-d'!A5","Ida-Virumaa MV")</f>
        <v>Ida-Virumaa MV</v>
      </c>
      <c r="N97" s="620">
        <v>29</v>
      </c>
      <c r="O97" s="257"/>
    </row>
    <row r="98" spans="1:15">
      <c r="A98" s="275"/>
      <c r="B98" s="276"/>
      <c r="C98" s="275"/>
      <c r="D98" s="276"/>
      <c r="E98" s="275"/>
      <c r="F98" s="276"/>
      <c r="G98" s="275"/>
      <c r="H98" s="276"/>
      <c r="I98" s="275"/>
      <c r="J98" s="280"/>
      <c r="K98" s="275"/>
      <c r="L98" s="280"/>
      <c r="M98" s="584" t="s">
        <v>103</v>
      </c>
      <c r="N98" s="621"/>
      <c r="O98" s="257"/>
    </row>
    <row r="99" ht="13.05" spans="1:15">
      <c r="A99" s="320"/>
      <c r="B99" s="319"/>
      <c r="C99" s="320"/>
      <c r="D99" s="319"/>
      <c r="E99" s="320"/>
      <c r="F99" s="319"/>
      <c r="G99" s="320"/>
      <c r="H99" s="319"/>
      <c r="I99" s="320"/>
      <c r="J99" s="342"/>
      <c r="K99" s="320"/>
      <c r="L99" s="342"/>
      <c r="M99" s="587" t="str">
        <f>HYPERLINK("http://kaart.delfi.ee//?bookmark=ebd616e171f4882941c876d5ba118858","Voka staadion")</f>
        <v>Voka staadion</v>
      </c>
      <c r="N99" s="622"/>
      <c r="O99" s="257"/>
    </row>
    <row r="100" s="256" customFormat="1" ht="13.05" spans="1:4">
      <c r="A100" s="809" t="s">
        <v>138</v>
      </c>
      <c r="B100" s="390"/>
      <c r="C100" s="548"/>
      <c r="D100" s="548"/>
    </row>
    <row r="101" s="256" customFormat="1" spans="1:14">
      <c r="A101" s="275"/>
      <c r="B101" s="316">
        <v>30</v>
      </c>
      <c r="C101" s="549"/>
      <c r="D101" s="322">
        <v>1</v>
      </c>
      <c r="E101" s="323"/>
      <c r="F101" s="322">
        <v>2</v>
      </c>
      <c r="G101" s="323"/>
      <c r="H101" s="322">
        <v>3</v>
      </c>
      <c r="I101" s="323"/>
      <c r="J101" s="324">
        <v>4</v>
      </c>
      <c r="K101" s="323"/>
      <c r="L101" s="322">
        <v>5</v>
      </c>
      <c r="M101" s="623" t="str">
        <f>HYPERLINK("#V1!$A$5","Voka VII sise-KV 1. etapp")</f>
        <v>Voka VII sise-KV 1. etapp</v>
      </c>
      <c r="N101" s="324">
        <v>6</v>
      </c>
    </row>
    <row r="102" s="256" customFormat="1" spans="1:14">
      <c r="A102" s="275"/>
      <c r="B102" s="276"/>
      <c r="C102" s="550"/>
      <c r="D102" s="276"/>
      <c r="E102" s="275"/>
      <c r="F102" s="276"/>
      <c r="G102" s="275"/>
      <c r="H102" s="276"/>
      <c r="I102" s="275"/>
      <c r="J102" s="280"/>
      <c r="K102" s="275"/>
      <c r="L102" s="276"/>
      <c r="M102" s="624" t="s">
        <v>103</v>
      </c>
      <c r="N102" s="625"/>
    </row>
    <row r="103" s="256" customFormat="1" ht="13.05" spans="1:14">
      <c r="A103" s="320"/>
      <c r="B103" s="319"/>
      <c r="C103" s="551"/>
      <c r="D103" s="319"/>
      <c r="E103" s="320"/>
      <c r="F103" s="319"/>
      <c r="G103" s="320"/>
      <c r="H103" s="319"/>
      <c r="I103" s="320"/>
      <c r="J103" s="342"/>
      <c r="K103" s="320"/>
      <c r="L103" s="319"/>
      <c r="M103" s="626" t="str">
        <f>HYPERLINK("https://kaart.delfi.ee/?bookmark=236e0f8de3f3d8e7138807663f9b5d14","Voka petangihall")</f>
        <v>Voka petangihall</v>
      </c>
      <c r="N103" s="384"/>
    </row>
    <row r="104" s="256" customFormat="1" spans="1:14">
      <c r="A104" s="275"/>
      <c r="B104" s="316">
        <v>7</v>
      </c>
      <c r="C104" s="549"/>
      <c r="D104" s="322">
        <v>8</v>
      </c>
      <c r="E104" s="323"/>
      <c r="F104" s="322">
        <v>9</v>
      </c>
      <c r="G104" s="323"/>
      <c r="H104" s="322">
        <v>10</v>
      </c>
      <c r="I104" s="323"/>
      <c r="J104" s="324">
        <v>11</v>
      </c>
      <c r="K104" s="323"/>
      <c r="L104" s="322">
        <v>12</v>
      </c>
      <c r="M104" s="627" t="str">
        <f>HYPERLINK("#'I-V-t-2'!$A$5","Ida-Virumaa sise-MV")</f>
        <v>Ida-Virumaa sise-MV</v>
      </c>
      <c r="N104" s="324">
        <v>13</v>
      </c>
    </row>
    <row r="105" s="256" customFormat="1" spans="1:14">
      <c r="A105" s="275"/>
      <c r="B105" s="276"/>
      <c r="C105" s="550"/>
      <c r="D105" s="276"/>
      <c r="E105" s="275"/>
      <c r="F105" s="276"/>
      <c r="G105" s="275"/>
      <c r="H105" s="276"/>
      <c r="I105" s="275"/>
      <c r="J105" s="280"/>
      <c r="K105" s="275"/>
      <c r="L105" s="276"/>
      <c r="M105" s="628" t="s">
        <v>103</v>
      </c>
      <c r="N105" s="629"/>
    </row>
    <row r="106" s="256" customFormat="1" ht="13.05" spans="1:14">
      <c r="A106" s="320"/>
      <c r="B106" s="319"/>
      <c r="C106" s="551"/>
      <c r="D106" s="319"/>
      <c r="E106" s="320"/>
      <c r="F106" s="319"/>
      <c r="G106" s="320"/>
      <c r="H106" s="319"/>
      <c r="I106" s="320"/>
      <c r="J106" s="342"/>
      <c r="K106" s="320"/>
      <c r="L106" s="319"/>
      <c r="M106" s="630" t="str">
        <f>HYPERLINK("https://kaart.delfi.ee/?bookmark=236e0f8de3f3d8e7138807663f9b5d14","Voka petangihall")</f>
        <v>Voka petangihall</v>
      </c>
      <c r="N106" s="631"/>
    </row>
    <row r="107" s="256" customFormat="1" spans="1:14">
      <c r="A107" s="275"/>
      <c r="B107" s="316">
        <v>14</v>
      </c>
      <c r="C107" s="549"/>
      <c r="D107" s="322">
        <v>15</v>
      </c>
      <c r="E107" s="323"/>
      <c r="F107" s="322">
        <v>16</v>
      </c>
      <c r="G107" s="323"/>
      <c r="H107" s="322">
        <v>17</v>
      </c>
      <c r="I107" s="323"/>
      <c r="J107" s="324">
        <v>18</v>
      </c>
      <c r="K107" s="323"/>
      <c r="L107" s="322">
        <v>19</v>
      </c>
      <c r="M107" s="623" t="str">
        <f>HYPERLINK("#V1!$A$5","Voka VII sise-KV 2. etapp")</f>
        <v>Voka VII sise-KV 2. etapp</v>
      </c>
      <c r="N107" s="324">
        <v>20</v>
      </c>
    </row>
    <row r="108" s="256" customFormat="1" spans="1:14">
      <c r="A108" s="275"/>
      <c r="B108" s="276"/>
      <c r="C108" s="550"/>
      <c r="D108" s="276"/>
      <c r="E108" s="275"/>
      <c r="F108" s="276"/>
      <c r="G108" s="275"/>
      <c r="H108" s="276"/>
      <c r="I108" s="275"/>
      <c r="J108" s="280"/>
      <c r="K108" s="275"/>
      <c r="L108" s="276"/>
      <c r="M108" s="624" t="s">
        <v>103</v>
      </c>
      <c r="N108" s="625"/>
    </row>
    <row r="109" s="256" customFormat="1" ht="13.05" spans="1:14">
      <c r="A109" s="320"/>
      <c r="B109" s="319"/>
      <c r="C109" s="551"/>
      <c r="D109" s="319"/>
      <c r="E109" s="320"/>
      <c r="F109" s="319"/>
      <c r="G109" s="320"/>
      <c r="H109" s="319"/>
      <c r="I109" s="320"/>
      <c r="J109" s="342"/>
      <c r="K109" s="320"/>
      <c r="L109" s="319"/>
      <c r="M109" s="626" t="str">
        <f>HYPERLINK("https://kaart.delfi.ee/?bookmark=236e0f8de3f3d8e7138807663f9b5d14","Voka petangihall")</f>
        <v>Voka petangihall</v>
      </c>
      <c r="N109" s="384"/>
    </row>
    <row r="110" s="256" customFormat="1" spans="1:14">
      <c r="A110" s="275"/>
      <c r="B110" s="316">
        <v>21</v>
      </c>
      <c r="C110" s="549"/>
      <c r="D110" s="322">
        <v>22</v>
      </c>
      <c r="E110" s="323"/>
      <c r="F110" s="322">
        <v>23</v>
      </c>
      <c r="G110" s="323"/>
      <c r="H110" s="322">
        <v>24</v>
      </c>
      <c r="I110" s="323"/>
      <c r="J110" s="324">
        <v>25</v>
      </c>
      <c r="K110" s="323"/>
      <c r="L110" s="322">
        <v>26</v>
      </c>
      <c r="M110" s="627" t="str">
        <f>HYPERLINK("#'I-V-t-2'!$A$5","Ida-Virumaa sise-MV")</f>
        <v>Ida-Virumaa sise-MV</v>
      </c>
      <c r="N110" s="324">
        <v>27</v>
      </c>
    </row>
    <row r="111" s="256" customFormat="1" spans="1:14">
      <c r="A111" s="275"/>
      <c r="B111" s="276"/>
      <c r="C111" s="550"/>
      <c r="D111" s="276"/>
      <c r="E111" s="275"/>
      <c r="F111" s="276"/>
      <c r="G111" s="275"/>
      <c r="H111" s="276"/>
      <c r="I111" s="275"/>
      <c r="J111" s="280"/>
      <c r="K111" s="275"/>
      <c r="L111" s="276"/>
      <c r="M111" s="628" t="s">
        <v>113</v>
      </c>
      <c r="N111" s="629"/>
    </row>
    <row r="112" s="256" customFormat="1" ht="13.05" spans="1:14">
      <c r="A112" s="320"/>
      <c r="B112" s="319"/>
      <c r="C112" s="551"/>
      <c r="D112" s="319"/>
      <c r="E112" s="320"/>
      <c r="F112" s="319"/>
      <c r="G112" s="320"/>
      <c r="H112" s="319"/>
      <c r="I112" s="320"/>
      <c r="J112" s="342"/>
      <c r="K112" s="320"/>
      <c r="L112" s="319"/>
      <c r="M112" s="632" t="str">
        <f>HYPERLINK("https://kaart.delfi.ee/?bookmark=236e0f8de3f3d8e7138807663f9b5d14","Voka petangihall")</f>
        <v>Voka petangihall</v>
      </c>
      <c r="N112" s="631"/>
    </row>
    <row r="113" s="256" customFormat="1" spans="1:14">
      <c r="A113" s="266"/>
      <c r="B113" s="276"/>
      <c r="C113" s="266"/>
      <c r="D113" s="276"/>
      <c r="E113" s="266"/>
      <c r="F113" s="276"/>
      <c r="G113" s="266"/>
      <c r="H113" s="276"/>
      <c r="I113" s="266"/>
      <c r="J113" s="276"/>
      <c r="K113" s="523"/>
      <c r="L113" s="266"/>
      <c r="M113" s="266"/>
      <c r="N113" s="276"/>
    </row>
    <row r="114" spans="15:15">
      <c r="O114" s="257"/>
    </row>
    <row r="115" ht="13.5" hidden="1" customHeight="1" spans="1:16">
      <c r="A115" s="808" t="s">
        <v>139</v>
      </c>
      <c r="B115" s="390"/>
      <c r="C115" s="391"/>
      <c r="D115" s="265"/>
      <c r="E115" s="266"/>
      <c r="F115" s="266"/>
      <c r="G115" s="387"/>
      <c r="H115" s="266"/>
      <c r="I115" s="266"/>
      <c r="J115" s="266"/>
      <c r="K115" s="266"/>
      <c r="L115" s="266"/>
      <c r="M115" s="266"/>
      <c r="N115" s="266"/>
      <c r="O115" s="394"/>
      <c r="P115" s="394"/>
    </row>
    <row r="116" ht="12.75" hidden="1" customHeight="1" spans="1:16">
      <c r="A116" s="271"/>
      <c r="B116" s="268">
        <v>5</v>
      </c>
      <c r="C116" s="552"/>
      <c r="D116" s="270">
        <v>6</v>
      </c>
      <c r="E116" s="269"/>
      <c r="F116" s="487">
        <v>7</v>
      </c>
      <c r="G116" s="552"/>
      <c r="H116" s="270">
        <v>8</v>
      </c>
      <c r="I116" s="271"/>
      <c r="J116" s="268">
        <v>9</v>
      </c>
      <c r="K116" s="552"/>
      <c r="L116" s="270">
        <v>10</v>
      </c>
      <c r="M116" s="271"/>
      <c r="N116" s="268">
        <v>11</v>
      </c>
      <c r="O116" s="394"/>
      <c r="P116" s="394"/>
    </row>
    <row r="117" ht="12.75" hidden="1" customHeight="1" spans="1:16">
      <c r="A117" s="277"/>
      <c r="B117" s="274"/>
      <c r="C117" s="266"/>
      <c r="D117" s="276"/>
      <c r="E117" s="275"/>
      <c r="F117" s="280"/>
      <c r="G117" s="266"/>
      <c r="H117" s="276"/>
      <c r="I117" s="277"/>
      <c r="J117" s="274"/>
      <c r="K117" s="266"/>
      <c r="L117" s="276"/>
      <c r="M117" s="277"/>
      <c r="N117" s="274"/>
      <c r="O117" s="394"/>
      <c r="P117" s="394"/>
    </row>
    <row r="118" ht="12.75" hidden="1" customHeight="1" spans="1:16">
      <c r="A118" s="277"/>
      <c r="B118" s="274"/>
      <c r="C118" s="266"/>
      <c r="D118" s="276"/>
      <c r="E118" s="275"/>
      <c r="F118" s="280"/>
      <c r="G118" s="350"/>
      <c r="H118" s="351"/>
      <c r="I118" s="633"/>
      <c r="J118" s="634"/>
      <c r="K118" s="352"/>
      <c r="L118" s="351"/>
      <c r="M118" s="633"/>
      <c r="N118" s="634"/>
      <c r="O118" s="394"/>
      <c r="P118" s="394"/>
    </row>
    <row r="119" ht="12.75" hidden="1" customHeight="1" spans="1:16">
      <c r="A119" s="553"/>
      <c r="B119" s="469"/>
      <c r="C119" s="554"/>
      <c r="D119" s="555"/>
      <c r="E119" s="326"/>
      <c r="F119" s="327"/>
      <c r="G119" s="556"/>
      <c r="H119" s="557"/>
      <c r="I119" s="635"/>
      <c r="J119" s="636" t="str">
        <f>HYPERLINK("https://www.petanque.ee/index.php?id=103820&amp;cid=926","50. Meeste MM, TRIO, TUL")</f>
        <v>50. Meeste MM, TRIO, TUL</v>
      </c>
      <c r="K119" s="637"/>
      <c r="L119" s="638"/>
      <c r="M119" s="639"/>
      <c r="N119" s="640"/>
      <c r="O119" s="394"/>
      <c r="P119" s="394"/>
    </row>
    <row r="120" ht="13.5" hidden="1" customHeight="1" spans="1:16">
      <c r="A120" s="558"/>
      <c r="B120" s="559"/>
      <c r="C120" s="560"/>
      <c r="D120" s="561"/>
      <c r="E120" s="562"/>
      <c r="F120" s="563"/>
      <c r="G120" s="564"/>
      <c r="H120" s="565"/>
      <c r="I120" s="641"/>
      <c r="J120" s="641"/>
      <c r="K120" s="642" t="str">
        <f>HYPERLINK("https://www.google.com/maps/place/Cotonou,+Benin/@6.3722837,2.2560915,11z/data=!3m1!4b1!4m5!3m4!1s0x102354e509f894f7:0xc8fde921f89849f6!8m2!3d6.3702928!4d2.3912362","Cotonou (Benin)")</f>
        <v>Cotonou (Benin)</v>
      </c>
      <c r="L120" s="332"/>
      <c r="M120" s="332"/>
      <c r="N120" s="643"/>
      <c r="O120" s="394"/>
      <c r="P120" s="394"/>
    </row>
    <row r="121" hidden="1" spans="1:16">
      <c r="A121" s="387"/>
      <c r="B121" s="266"/>
      <c r="C121" s="554"/>
      <c r="D121" s="555"/>
      <c r="E121" s="555"/>
      <c r="F121" s="266"/>
      <c r="G121" s="566"/>
      <c r="H121" s="567"/>
      <c r="I121" s="358"/>
      <c r="J121" s="358"/>
      <c r="K121" s="644"/>
      <c r="L121" s="266"/>
      <c r="M121" s="266"/>
      <c r="N121" s="645"/>
      <c r="O121" s="394"/>
      <c r="P121" s="394"/>
    </row>
    <row r="122" hidden="1" spans="1:16">
      <c r="A122" s="387"/>
      <c r="B122" s="266"/>
      <c r="C122" s="554"/>
      <c r="D122" s="555"/>
      <c r="E122" s="555"/>
      <c r="F122" s="266"/>
      <c r="G122" s="566"/>
      <c r="H122" s="567"/>
      <c r="I122" s="358"/>
      <c r="J122" s="358"/>
      <c r="K122" s="644"/>
      <c r="L122" s="266"/>
      <c r="M122" s="266"/>
      <c r="N122" s="645"/>
      <c r="O122" s="394"/>
      <c r="P122" s="394"/>
    </row>
    <row r="123" hidden="1" spans="1:16">
      <c r="A123" s="568" t="s">
        <v>140</v>
      </c>
      <c r="B123" s="569"/>
      <c r="C123" s="570"/>
      <c r="D123" s="570"/>
      <c r="E123" s="569"/>
      <c r="F123" s="569"/>
      <c r="G123" s="570"/>
      <c r="H123" s="570"/>
      <c r="I123" s="570"/>
      <c r="J123" s="570"/>
      <c r="K123" s="570"/>
      <c r="L123" s="396"/>
      <c r="M123" s="396"/>
      <c r="N123" s="576"/>
      <c r="O123" s="394"/>
      <c r="P123" s="394"/>
    </row>
    <row r="124" hidden="1" spans="1:16">
      <c r="A124" s="571" t="s">
        <v>88</v>
      </c>
      <c r="B124" s="569"/>
      <c r="C124" s="570"/>
      <c r="D124" s="570"/>
      <c r="E124" s="569"/>
      <c r="F124" s="569"/>
      <c r="G124" s="570"/>
      <c r="H124" s="570"/>
      <c r="I124" s="570"/>
      <c r="J124" s="570"/>
      <c r="K124" s="570"/>
      <c r="L124" s="570"/>
      <c r="M124" s="570"/>
      <c r="N124" s="576"/>
      <c r="O124" s="394"/>
      <c r="P124" s="394"/>
    </row>
    <row r="125" spans="1:16">
      <c r="A125" s="572" t="s">
        <v>141</v>
      </c>
      <c r="B125" s="572"/>
      <c r="C125" s="572"/>
      <c r="D125" s="572"/>
      <c r="E125" s="572"/>
      <c r="F125" s="572"/>
      <c r="G125" s="572"/>
      <c r="H125" s="573"/>
      <c r="I125" s="646"/>
      <c r="J125" s="396"/>
      <c r="L125" s="396"/>
      <c r="M125" s="396"/>
      <c r="N125" s="576"/>
      <c r="O125" s="394"/>
      <c r="P125" s="394"/>
    </row>
    <row r="126" spans="1:16">
      <c r="A126" s="574" t="s">
        <v>142</v>
      </c>
      <c r="B126" s="396"/>
      <c r="C126" s="396"/>
      <c r="D126" s="396"/>
      <c r="E126" s="396"/>
      <c r="F126" s="396"/>
      <c r="G126" s="396"/>
      <c r="H126" s="396"/>
      <c r="J126" s="396"/>
      <c r="K126" s="396"/>
      <c r="L126" s="396"/>
      <c r="M126" s="396"/>
      <c r="N126" s="646"/>
      <c r="O126" s="394"/>
      <c r="P126" s="394"/>
    </row>
    <row r="127" spans="1:16">
      <c r="A127" s="575" t="s">
        <v>143</v>
      </c>
      <c r="B127" s="396"/>
      <c r="C127" s="396"/>
      <c r="D127" s="396"/>
      <c r="E127" s="576"/>
      <c r="F127" s="576"/>
      <c r="G127" s="396"/>
      <c r="H127" s="396"/>
      <c r="I127" s="394"/>
      <c r="J127" s="394"/>
      <c r="K127" s="394"/>
      <c r="L127" s="396"/>
      <c r="M127" s="396"/>
      <c r="N127" s="647" t="s">
        <v>144</v>
      </c>
      <c r="O127" s="394"/>
      <c r="P127" s="394"/>
    </row>
    <row r="128" spans="1:16">
      <c r="A128" s="266"/>
      <c r="B128" s="266"/>
      <c r="C128" s="266"/>
      <c r="D128" s="266"/>
      <c r="E128" s="266"/>
      <c r="F128" s="266"/>
      <c r="G128" s="387"/>
      <c r="H128" s="266"/>
      <c r="I128" s="266"/>
      <c r="J128" s="648"/>
      <c r="K128" s="266"/>
      <c r="L128" s="649"/>
      <c r="M128" s="554"/>
      <c r="N128" s="266"/>
      <c r="O128" s="394"/>
      <c r="P128" s="394"/>
    </row>
  </sheetData>
  <pageMargins left="0.275590551181102" right="0.196850393700787" top="0.275590551181102" bottom="0.196850393700787" header="0.275590551181102" footer="0"/>
  <pageSetup paperSize="9" fitToHeight="0" orientation="portrait"/>
  <headerFooter>
    <oddHeader>&amp;R&amp;9&amp;P. leht &amp;N&amp; -st</oddHeader>
  </headerFooter>
  <rowBreaks count="1" manualBreakCount="1">
    <brk id="60" max="13" man="1"/>
  </row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CC00"/>
    <pageSetUpPr fitToPage="1"/>
  </sheetPr>
  <dimension ref="A1:BR131"/>
  <sheetViews>
    <sheetView showGridLines="0" workbookViewId="0">
      <pane ySplit="6" topLeftCell="A7" activePane="bottomLeft" state="frozen"/>
      <selection/>
      <selection pane="bottomLeft" activeCell="AB1" sqref="AB1"/>
    </sheetView>
  </sheetViews>
  <sheetFormatPr defaultColWidth="9" defaultRowHeight="12.3"/>
  <cols>
    <col min="1" max="1" width="6.14414414414414" style="3" customWidth="1"/>
    <col min="2" max="2" width="7.42342342342342" style="3" hidden="1" customWidth="1"/>
    <col min="3" max="3" width="7.56756756756757" style="3" customWidth="1"/>
    <col min="4" max="4" width="9.14414414414414" style="3" hidden="1" customWidth="1"/>
    <col min="5" max="5" width="3.14414414414414" style="3" hidden="1" customWidth="1"/>
    <col min="6" max="6" width="4.42342342342342" style="3" hidden="1" customWidth="1"/>
    <col min="7" max="7" width="3" style="3" customWidth="1"/>
    <col min="8" max="8" width="6.71171171171171" style="3" hidden="1" customWidth="1"/>
    <col min="9" max="9" width="2.71171171171171" style="3" customWidth="1"/>
    <col min="10" max="10" width="8.28828828828829" style="3" hidden="1" customWidth="1"/>
    <col min="11" max="11" width="6" style="3" customWidth="1"/>
    <col min="12" max="12" width="21.1441441441441" style="3" customWidth="1"/>
    <col min="13" max="16" width="3" style="3" hidden="1" customWidth="1"/>
    <col min="17" max="17" width="10" style="3" hidden="1" customWidth="1"/>
    <col min="18" max="18" width="8.79279279279279" style="3" customWidth="1"/>
    <col min="19" max="19" width="26.5675675675676" style="3" hidden="1" customWidth="1"/>
    <col min="20" max="20" width="28.2882882882883" style="3" hidden="1" customWidth="1"/>
    <col min="21" max="21" width="9" style="3" hidden="1" customWidth="1"/>
    <col min="22" max="22" width="7.56756756756757" style="3" hidden="1" customWidth="1"/>
    <col min="23" max="23" width="32" style="3" hidden="1" customWidth="1"/>
    <col min="24" max="24" width="11.2882882882883" style="3" hidden="1" customWidth="1"/>
    <col min="25" max="25" width="5" style="3" hidden="1" customWidth="1"/>
    <col min="26" max="34" width="3.28828828828829" style="3" customWidth="1"/>
    <col min="35" max="35" width="4.14414414414414" style="3" customWidth="1"/>
    <col min="36" max="36" width="3" style="3" hidden="1" customWidth="1"/>
    <col min="37" max="37" width="6.28828828828829" style="3" hidden="1" customWidth="1"/>
    <col min="38" max="38" width="8" style="3" hidden="1" customWidth="1"/>
    <col min="39" max="39" width="5.42342342342342" style="3" hidden="1" customWidth="1"/>
    <col min="40" max="42" width="3.28828828828829" style="3" customWidth="1"/>
    <col min="43" max="43" width="0.144144144144144" style="3" customWidth="1"/>
    <col min="44" max="45" width="9.14414414414414" style="3" customWidth="1"/>
    <col min="46" max="55" width="8" style="3" hidden="1" customWidth="1"/>
    <col min="56" max="56" width="7" style="3" hidden="1" customWidth="1"/>
    <col min="57" max="70" width="9.14414414414414" style="3" hidden="1" customWidth="1"/>
    <col min="71" max="71" width="9.14414414414414" style="3"/>
    <col min="72" max="16384" width="9.14414414414414" style="120"/>
  </cols>
  <sheetData>
    <row r="1" spans="1:70">
      <c r="A1" s="121"/>
      <c r="B1" s="122"/>
      <c r="C1" s="123" t="s">
        <v>145</v>
      </c>
      <c r="D1" s="124"/>
      <c r="E1" s="124"/>
      <c r="F1" s="124"/>
      <c r="H1" s="124"/>
      <c r="J1" s="124"/>
      <c r="K1" s="126"/>
      <c r="L1" s="121"/>
      <c r="M1" s="146"/>
      <c r="N1" s="146"/>
      <c r="O1" s="146"/>
      <c r="P1" s="147"/>
      <c r="Q1" s="147"/>
      <c r="R1" s="148"/>
      <c r="S1" s="146"/>
      <c r="T1" s="146"/>
      <c r="U1" s="146"/>
      <c r="V1" s="146"/>
      <c r="W1" s="146"/>
      <c r="X1" s="146"/>
      <c r="Y1" s="194"/>
      <c r="Z1" s="195"/>
      <c r="AA1" s="148"/>
      <c r="AB1" s="148"/>
      <c r="AC1" s="148"/>
      <c r="AD1" s="148"/>
      <c r="AF1" s="148" t="s">
        <v>146</v>
      </c>
      <c r="AG1" s="148"/>
      <c r="AI1" s="204" t="s">
        <v>147</v>
      </c>
      <c r="AJ1" s="205"/>
      <c r="AK1" s="205"/>
      <c r="AL1" s="47"/>
      <c r="AM1" s="47"/>
      <c r="AN1" s="206" t="s">
        <v>148</v>
      </c>
      <c r="AO1" s="206"/>
      <c r="AP1" s="227"/>
      <c r="AQ1" s="121"/>
      <c r="AT1" s="30" t="s">
        <v>149</v>
      </c>
      <c r="AU1" s="122"/>
      <c r="AV1" s="122"/>
      <c r="AW1" s="122"/>
      <c r="AX1" s="122"/>
      <c r="AY1" s="122"/>
      <c r="AZ1" s="122"/>
      <c r="BA1" s="122"/>
      <c r="BB1" s="122"/>
      <c r="BC1" s="122"/>
      <c r="BD1" s="122"/>
      <c r="BE1" s="47"/>
      <c r="BF1" s="47"/>
      <c r="BG1" s="47"/>
      <c r="BH1" s="47"/>
      <c r="BI1" s="30" t="s">
        <v>149</v>
      </c>
      <c r="BJ1" s="122"/>
      <c r="BK1" s="122"/>
      <c r="BL1" s="122"/>
      <c r="BM1" s="122"/>
      <c r="BN1" s="122"/>
      <c r="BO1" s="122"/>
      <c r="BP1" s="122"/>
      <c r="BQ1" s="122"/>
      <c r="BR1" s="122"/>
    </row>
    <row r="2" spans="1:56">
      <c r="A2" s="121"/>
      <c r="B2" s="121"/>
      <c r="C2" s="125" t="s">
        <v>150</v>
      </c>
      <c r="D2" s="126"/>
      <c r="E2" s="126"/>
      <c r="F2" s="126"/>
      <c r="H2" s="126"/>
      <c r="J2" s="126"/>
      <c r="K2" s="126"/>
      <c r="L2" s="121"/>
      <c r="M2" s="148"/>
      <c r="N2" s="148"/>
      <c r="O2" s="148"/>
      <c r="P2" s="149"/>
      <c r="Q2" s="149"/>
      <c r="R2" s="148"/>
      <c r="S2" s="148"/>
      <c r="T2" s="148"/>
      <c r="U2" s="148"/>
      <c r="V2" s="148"/>
      <c r="W2" s="148"/>
      <c r="X2" s="148"/>
      <c r="Y2" s="195"/>
      <c r="Z2" s="148"/>
      <c r="AA2" s="148"/>
      <c r="AB2" s="148"/>
      <c r="AC2" s="148"/>
      <c r="AD2" s="148"/>
      <c r="AE2" s="148"/>
      <c r="AF2" s="148"/>
      <c r="AG2" s="207"/>
      <c r="AH2" s="207"/>
      <c r="AI2" s="207"/>
      <c r="AJ2" s="148"/>
      <c r="AK2" s="148"/>
      <c r="AL2" s="148"/>
      <c r="AN2" s="122" t="s">
        <v>151</v>
      </c>
      <c r="AO2" s="122"/>
      <c r="AP2" s="121"/>
      <c r="AQ2" s="121"/>
      <c r="AT2" s="228">
        <v>3</v>
      </c>
      <c r="AU2" s="229" t="s">
        <v>152</v>
      </c>
      <c r="AV2" s="229"/>
      <c r="AW2" s="229"/>
      <c r="AX2" s="229"/>
      <c r="AY2" s="229"/>
      <c r="AZ2" s="229"/>
      <c r="BA2" s="121"/>
      <c r="BB2" s="121"/>
      <c r="BC2" s="121"/>
      <c r="BD2" s="121"/>
    </row>
    <row r="3" spans="1:56">
      <c r="A3" s="121"/>
      <c r="B3" s="121"/>
      <c r="C3" s="125"/>
      <c r="D3" s="126"/>
      <c r="E3" s="126"/>
      <c r="F3" s="126"/>
      <c r="H3" s="126"/>
      <c r="J3" s="126"/>
      <c r="K3" s="126"/>
      <c r="L3" s="121"/>
      <c r="M3" s="148"/>
      <c r="N3" s="148"/>
      <c r="O3" s="148"/>
      <c r="P3" s="149"/>
      <c r="Q3" s="149"/>
      <c r="R3" s="149"/>
      <c r="S3" s="148">
        <f>COUNTIF((Q$7:Q$126),"&lt;&gt;Viru SK")</f>
        <v>65</v>
      </c>
      <c r="T3" s="148"/>
      <c r="U3" s="148"/>
      <c r="V3" s="148"/>
      <c r="W3" s="148"/>
      <c r="X3" s="148"/>
      <c r="Y3" s="195"/>
      <c r="Z3" s="148"/>
      <c r="AA3" s="148"/>
      <c r="AB3" s="148"/>
      <c r="AC3" s="148"/>
      <c r="AD3" s="148"/>
      <c r="AE3" s="148"/>
      <c r="AF3" s="148"/>
      <c r="AG3" s="148"/>
      <c r="AH3" s="148"/>
      <c r="AI3" s="148"/>
      <c r="AJ3" s="148"/>
      <c r="AK3" s="148"/>
      <c r="AL3" s="148"/>
      <c r="AN3" s="208" t="s">
        <v>153</v>
      </c>
      <c r="AO3" s="208"/>
      <c r="AP3" s="121"/>
      <c r="AQ3" s="121"/>
      <c r="AT3" s="228">
        <v>1</v>
      </c>
      <c r="AU3" s="229" t="s">
        <v>154</v>
      </c>
      <c r="AV3" s="229"/>
      <c r="AW3" s="229"/>
      <c r="AX3" s="229"/>
      <c r="AY3" s="229"/>
      <c r="AZ3" s="229"/>
      <c r="BA3" s="229"/>
      <c r="BB3" s="229"/>
      <c r="BC3" s="121"/>
      <c r="BD3" s="121"/>
    </row>
    <row r="4" ht="29.25" customHeight="1" spans="1:56">
      <c r="A4" s="127"/>
      <c r="B4" s="128"/>
      <c r="C4" s="127"/>
      <c r="D4" s="129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82"/>
      <c r="S4" s="183" t="s">
        <v>155</v>
      </c>
      <c r="T4" s="183"/>
      <c r="U4" s="184" t="s">
        <v>156</v>
      </c>
      <c r="V4" s="183" t="s">
        <v>157</v>
      </c>
      <c r="W4" s="183" t="s">
        <v>158</v>
      </c>
      <c r="X4" s="183"/>
      <c r="Y4" s="196" t="s">
        <v>159</v>
      </c>
      <c r="Z4" s="197" t="str">
        <f>MID(Kalend!$A7,4,5)</f>
        <v>07.05</v>
      </c>
      <c r="AA4" s="197" t="str">
        <f>MID(Kalend!$A8,4,5)</f>
        <v>14.05</v>
      </c>
      <c r="AB4" s="197" t="str">
        <f>MID(Kalend!$A13,4,5)</f>
        <v>04.06</v>
      </c>
      <c r="AC4" s="197" t="str">
        <f>MID(Kalend!$A14,4,5)</f>
        <v>18.06</v>
      </c>
      <c r="AD4" s="197" t="str">
        <f>MID(Kalend!$A17,4,5)</f>
        <v>02.07</v>
      </c>
      <c r="AE4" s="197" t="str">
        <f>MID(Kalend!$A19,4,5)</f>
        <v>16.07</v>
      </c>
      <c r="AF4" s="197" t="str">
        <f>MID(Kalend!$A20,4,5)</f>
        <v>23.07</v>
      </c>
      <c r="AG4" s="197" t="str">
        <f>MID(Kalend!$A25,4,5)</f>
        <v>06.08</v>
      </c>
      <c r="AH4" s="197" t="str">
        <f>MID(Kalend!$A27,4,5)</f>
        <v>20.08</v>
      </c>
      <c r="AI4" s="197" t="str">
        <f>MID(Kalend!$A30,4,5)</f>
        <v>03.09</v>
      </c>
      <c r="AJ4" s="209"/>
      <c r="AK4" s="210"/>
      <c r="AL4" s="211"/>
      <c r="AM4" s="212"/>
      <c r="AN4" s="213" t="s">
        <v>160</v>
      </c>
      <c r="AO4" s="230" t="s">
        <v>161</v>
      </c>
      <c r="AP4" s="231" t="s">
        <v>162</v>
      </c>
      <c r="AQ4" s="121"/>
      <c r="AT4" s="121"/>
      <c r="AW4" s="121"/>
      <c r="AX4" s="121"/>
      <c r="AY4" s="121"/>
      <c r="AZ4" s="121"/>
      <c r="BA4" s="121"/>
      <c r="BB4" s="121"/>
      <c r="BC4" s="121"/>
      <c r="BD4" s="121"/>
    </row>
    <row r="5" ht="12.8" spans="1:56">
      <c r="A5" s="130" t="s">
        <v>34</v>
      </c>
      <c r="B5" s="131"/>
      <c r="C5" s="131"/>
      <c r="D5" s="131"/>
      <c r="E5" s="131" t="s">
        <v>34</v>
      </c>
      <c r="F5" s="131"/>
      <c r="G5" s="131" t="s">
        <v>34</v>
      </c>
      <c r="H5" s="131"/>
      <c r="I5" s="131"/>
      <c r="J5" s="131"/>
      <c r="K5" s="150" t="s">
        <v>163</v>
      </c>
      <c r="L5" s="151"/>
      <c r="M5" s="152" t="s">
        <v>34</v>
      </c>
      <c r="N5" s="152" t="s">
        <v>34</v>
      </c>
      <c r="O5" s="152" t="s">
        <v>34</v>
      </c>
      <c r="P5" s="152" t="s">
        <v>34</v>
      </c>
      <c r="Q5" s="152" t="s">
        <v>34</v>
      </c>
      <c r="R5" s="162" t="s">
        <v>147</v>
      </c>
      <c r="S5" s="185" t="s">
        <v>164</v>
      </c>
      <c r="T5" s="186"/>
      <c r="U5" s="187" t="s">
        <v>165</v>
      </c>
      <c r="V5" s="188"/>
      <c r="W5" s="188"/>
      <c r="X5" s="188"/>
      <c r="Y5" s="198" t="s">
        <v>166</v>
      </c>
      <c r="Z5" s="199" t="s">
        <v>167</v>
      </c>
      <c r="AA5" s="199" t="s">
        <v>167</v>
      </c>
      <c r="AB5" s="199" t="s">
        <v>167</v>
      </c>
      <c r="AC5" s="199" t="s">
        <v>167</v>
      </c>
      <c r="AD5" s="199" t="s">
        <v>167</v>
      </c>
      <c r="AE5" s="199" t="s">
        <v>167</v>
      </c>
      <c r="AF5" s="199" t="s">
        <v>167</v>
      </c>
      <c r="AG5" s="199" t="s">
        <v>167</v>
      </c>
      <c r="AH5" s="199" t="s">
        <v>167</v>
      </c>
      <c r="AI5" s="199" t="s">
        <v>167</v>
      </c>
      <c r="AJ5" s="214"/>
      <c r="AK5" s="215" t="s">
        <v>168</v>
      </c>
      <c r="AL5" s="216" t="s">
        <v>169</v>
      </c>
      <c r="AM5" s="217" t="s">
        <v>170</v>
      </c>
      <c r="AN5" s="213"/>
      <c r="AO5" s="230"/>
      <c r="AP5" s="231"/>
      <c r="AQ5" s="121"/>
      <c r="AT5" s="232" t="str">
        <f>HYPERLINK("#Juhend!B1","Juhend")</f>
        <v>Juhend</v>
      </c>
      <c r="AU5" s="121"/>
      <c r="AV5" s="121"/>
      <c r="AW5" s="121"/>
      <c r="AX5" s="121"/>
      <c r="AY5" s="121"/>
      <c r="AZ5" s="121"/>
      <c r="BA5" s="121"/>
      <c r="BB5" s="121"/>
      <c r="BC5" s="121"/>
      <c r="BD5" s="121"/>
    </row>
    <row r="6" spans="1:70">
      <c r="A6" s="132" t="s">
        <v>171</v>
      </c>
      <c r="B6" s="133" t="s">
        <v>171</v>
      </c>
      <c r="C6" s="134" t="s">
        <v>172</v>
      </c>
      <c r="D6" s="135" t="s">
        <v>172</v>
      </c>
      <c r="E6" s="136" t="s">
        <v>173</v>
      </c>
      <c r="F6" s="137" t="s">
        <v>174</v>
      </c>
      <c r="G6" s="138" t="s">
        <v>175</v>
      </c>
      <c r="H6" s="137" t="s">
        <v>176</v>
      </c>
      <c r="I6" s="153" t="s">
        <v>177</v>
      </c>
      <c r="J6" s="137" t="s">
        <v>178</v>
      </c>
      <c r="K6" s="154" t="s">
        <v>179</v>
      </c>
      <c r="L6" s="155" t="s">
        <v>180</v>
      </c>
      <c r="M6" s="156" t="s">
        <v>175</v>
      </c>
      <c r="N6" s="157" t="s">
        <v>173</v>
      </c>
      <c r="O6" s="158" t="s">
        <v>177</v>
      </c>
      <c r="P6" s="159" t="s">
        <v>181</v>
      </c>
      <c r="Q6" s="189" t="s">
        <v>182</v>
      </c>
      <c r="R6" s="154" t="s">
        <v>168</v>
      </c>
      <c r="S6" s="190" t="s">
        <v>183</v>
      </c>
      <c r="T6" s="190" t="s">
        <v>184</v>
      </c>
      <c r="U6" s="190" t="s">
        <v>185</v>
      </c>
      <c r="V6" s="191" t="s">
        <v>186</v>
      </c>
      <c r="W6" s="190" t="s">
        <v>187</v>
      </c>
      <c r="X6" s="190" t="s">
        <v>188</v>
      </c>
      <c r="Y6" s="190" t="s">
        <v>189</v>
      </c>
      <c r="Z6" s="200" t="str">
        <f>HYPERLINK("#V1!A5","V1")</f>
        <v>V1</v>
      </c>
      <c r="AA6" s="200" t="str">
        <f>HYPERLINK("#V2!A5","V2")</f>
        <v>V2</v>
      </c>
      <c r="AB6" s="200" t="str">
        <f>HYPERLINK("#V3!A5","V3")</f>
        <v>V3</v>
      </c>
      <c r="AC6" s="200" t="str">
        <f>HYPERLINK("#V4!A5","V4")</f>
        <v>V4</v>
      </c>
      <c r="AD6" s="200" t="str">
        <f>HYPERLINK("#V5!A5","V5")</f>
        <v>V5</v>
      </c>
      <c r="AE6" s="200" t="str">
        <f>HYPERLINK("#V6!A5","V6")</f>
        <v>V6</v>
      </c>
      <c r="AF6" s="200" t="str">
        <f>HYPERLINK("#V7!A5","V7")</f>
        <v>V7</v>
      </c>
      <c r="AG6" s="200" t="str">
        <f>HYPERLINK("#V8!A5","V8")</f>
        <v>V8</v>
      </c>
      <c r="AH6" s="200" t="str">
        <f>HYPERLINK("#V9!A5","V9")</f>
        <v>V9</v>
      </c>
      <c r="AI6" s="200" t="str">
        <f>HYPERLINK("#V10!A5","V10")</f>
        <v>V10</v>
      </c>
      <c r="AJ6" s="218"/>
      <c r="AK6" s="219" t="s">
        <v>190</v>
      </c>
      <c r="AL6" s="220" t="s">
        <v>191</v>
      </c>
      <c r="AM6" s="221" t="str">
        <f>HYPERLINK("#'V-Fin'!J1","V-Fin")</f>
        <v>V-Fin</v>
      </c>
      <c r="AN6" s="213"/>
      <c r="AO6" s="230"/>
      <c r="AP6" s="231"/>
      <c r="AQ6" s="121"/>
      <c r="AT6" s="121"/>
      <c r="AU6" s="121"/>
      <c r="AV6" s="121"/>
      <c r="AW6" s="121"/>
      <c r="AX6" s="121"/>
      <c r="AY6" s="121"/>
      <c r="AZ6" s="121"/>
      <c r="BA6" s="121"/>
      <c r="BB6" s="121"/>
      <c r="BC6" s="121"/>
      <c r="BD6" s="121"/>
      <c r="BI6" s="3">
        <f t="shared" ref="BI6:BR6" si="0">LARGE(Z7:Z126,1)</f>
        <v>18</v>
      </c>
      <c r="BJ6" s="3">
        <f t="shared" si="0"/>
        <v>28</v>
      </c>
      <c r="BK6" s="3">
        <f t="shared" si="0"/>
        <v>26</v>
      </c>
      <c r="BL6" s="3">
        <f t="shared" si="0"/>
        <v>28</v>
      </c>
      <c r="BM6" s="3">
        <f t="shared" si="0"/>
        <v>40</v>
      </c>
      <c r="BN6" s="3">
        <f t="shared" si="0"/>
        <v>28</v>
      </c>
      <c r="BO6" s="3">
        <f t="shared" si="0"/>
        <v>28</v>
      </c>
      <c r="BP6" s="3">
        <f t="shared" si="0"/>
        <v>26</v>
      </c>
      <c r="BQ6" s="3" t="e">
        <f t="shared" si="0"/>
        <v>#NUM!</v>
      </c>
      <c r="BR6" s="3" t="e">
        <f t="shared" si="0"/>
        <v>#NUM!</v>
      </c>
    </row>
    <row r="7" spans="1:70">
      <c r="A7" s="139">
        <f>IF(R7&gt;0,IF(Q7="Viru SK",RANK(B7,B$7:B$126,1)-COUNTIF((Q$7:Q$126),"&lt;&gt;Viru SK"),""),"")</f>
        <v>1</v>
      </c>
      <c r="B7" s="140">
        <f>IF((Q7="Viru SK"),U7,U7-1000)</f>
        <v>1</v>
      </c>
      <c r="C7" s="141" t="str">
        <f>IF(R7&gt;0,IF(P7="t",RANK(D7,D$7:D$126,1)-COUNTBLANK(P$7:P$126),""),"")</f>
        <v/>
      </c>
      <c r="D7" s="142">
        <f>IF((P7="t"),U7,U7-1000)</f>
        <v>-999</v>
      </c>
      <c r="E7" s="143">
        <f>IF(R7&gt;0,IF(N7="m",RANK(F7,F$7:F$126,1)-COUNTBLANK(N$7:N$126),""),"")</f>
        <v>2</v>
      </c>
      <c r="F7" s="144">
        <f>IF((N7="m"),U7,U7-1000)</f>
        <v>1</v>
      </c>
      <c r="G7" s="145" t="str">
        <f>IF(R7&gt;0,IF(M7="n",RANK(H7,H$7:H$126,1)-COUNTBLANK(M$7:M$126),""),"")</f>
        <v/>
      </c>
      <c r="H7" s="144">
        <f>IF((M7="n"),U7,U7-1000)</f>
        <v>-999</v>
      </c>
      <c r="I7" s="160" t="str">
        <f>IF(R7&gt;0,IF(O7="j",RANK(J7,J$7:J$126,1)-COUNTBLANK(O$7:O$126),""),"")</f>
        <v/>
      </c>
      <c r="J7" s="161">
        <f>IF((O7="j"),U7,U7-1000)</f>
        <v>-999</v>
      </c>
      <c r="K7" s="162">
        <f>IF(R7&gt;0,RANK(U7,U$7:U$126,1),"")</f>
        <v>1</v>
      </c>
      <c r="L7" s="163" t="s">
        <v>192</v>
      </c>
      <c r="M7" s="164"/>
      <c r="N7" s="165" t="s">
        <v>193</v>
      </c>
      <c r="O7" s="166"/>
      <c r="P7" s="167"/>
      <c r="Q7" s="192" t="s">
        <v>171</v>
      </c>
      <c r="R7" s="154">
        <f>(IF(COUNT(Z7,AA7,AB7,AC7,AD7,AE7,AF7,AG7,AH7,AI7)&lt;10,SUM(Z7,AA7,AB7,AC7,AD7,AE7,AF7,AG7,AH7,AI7),SUM(LARGE((Z7,AA7,AB7,AC7,AD7,AE7,AF7,AG7,AH7,AI7),{1;2;3;4;5;6;7;8;9}))))</f>
        <v>176</v>
      </c>
      <c r="S7" s="193" t="str">
        <f>INDEX(ETAPP!B$1:B$32,MATCH(COUNTIF(BI7:BR7,1),ETAPP!A$1:A$32,0))&amp;INDEX(ETAPP!B$1:B$32,MATCH(COUNTIF(BI7:BR7,2),ETAPP!A$1:A$32,0))&amp;INDEX(ETAPP!B$1:B$32,MATCH(COUNTIF(BI7:BR7,3),ETAPP!A$1:A$32,0))&amp;INDEX(ETAPP!B$1:B$32,MATCH(COUNTIF(BI7:BR7,4),ETAPP!A$1:A$32,0))&amp;INDEX(ETAPP!B$1:B$32,MATCH(COUNTIF(BI7:BR7,5),ETAPP!A$1:A$32,0))&amp;INDEX(ETAPP!B$1:B$32,MATCH(COUNTIF(BI7:BR7,6),ETAPP!A$1:A$32,0))&amp;INDEX(ETAPP!B$1:B$32,MATCH(COUNTIF(BI7:BR7,7),ETAPP!A$1:A$32,0))&amp;INDEX(ETAPP!B$1:B$32,MATCH(COUNTIF(BI7:BR7,8),ETAPP!A$1:A$32,0))&amp;INDEX(ETAPP!B$1:B$32,MATCH(COUNTIF(BI7:BR7,9),ETAPP!A$1:A$32,0))&amp;INDEX(ETAPP!B$1:B$32,MATCH(COUNTIF(BI7:BR7,10),ETAPP!A$1:A$32,0))&amp;INDEX(ETAPP!B$1:B$32,MATCH(COUNTIF(BI7:BR7,11),ETAPP!A$1:A$32,0))&amp;INDEX(ETAPP!B$1:B$32,MATCH(COUNTIF(BI7:BR7,12),ETAPP!A$1:A$32,0))&amp;INDEX(ETAPP!B$1:B$32,MATCH(COUNTIF(BI7:BR7,13),ETAPP!A$1:A$32,0))&amp;INDEX(ETAPP!B$1:B$32,MATCH(COUNTIF(BI7:BR7,14),ETAPP!A$1:A$32,0))&amp;INDEX(ETAPP!B$1:B$32,MATCH(COUNTIF(BI7:BR7,15),ETAPP!A$1:A$32,0))&amp;INDEX(ETAPP!B$1:B$32,MATCH(COUNTIF(BI7:BR7,16),ETAPP!A$1:A$32,0))&amp;INDEX(ETAPP!B$1:B$32,MATCH(COUNTIF(BI7:BR7,17),ETAPP!A$1:A$32,0))&amp;INDEX(ETAPP!B$1:B$32,MATCH(COUNTIF(BI7:BR7,18),ETAPP!A$1:A$32,0))&amp;INDEX(ETAPP!B$1:B$32,MATCH(COUNTIF(BI7:BR7,19),ETAPP!A$1:A$32,0))&amp;INDEX(ETAPP!B$1:B$32,MATCH(COUNTIF(BI7:BR7,20),ETAPP!A$1:A$32,0))&amp;INDEX(ETAPP!B$1:B$32,MATCH(COUNTIF(BI7:BR7,21),ETAPP!A$1:A$32,0))</f>
        <v>ABB00AB00000000000000</v>
      </c>
      <c r="T7" s="193" t="str">
        <f>TEXT(R7,"000,0")&amp;"-"&amp;S7</f>
        <v>176,0-ABB00AB00000000000000</v>
      </c>
      <c r="U7" s="193">
        <f>COUNTIF(T$7:T$126,"&gt;="&amp;T7)</f>
        <v>1</v>
      </c>
      <c r="V7" s="193">
        <f>COUNTIF(L$7:L$126,"&gt;="&amp;L7)</f>
        <v>11</v>
      </c>
      <c r="W7" s="193" t="str">
        <f>TEXT(R7,"000,0")&amp;"-"&amp;S7&amp;"-"&amp;TEXT(V7,"000")</f>
        <v>176,0-ABB00AB00000000000000-011</v>
      </c>
      <c r="X7" s="193">
        <f>COUNTIF(W$7:W$126,"&gt;="&amp;W7)</f>
        <v>1</v>
      </c>
      <c r="Y7" s="201">
        <f>RANK(X7,X$7:X$126,0)</f>
        <v>120</v>
      </c>
      <c r="Z7" s="202">
        <f>IFERROR(INDEX('V1'!C$300:C$400,MATCH("*"&amp;L7&amp;"*",'V1'!B$300:B$400,0)),"  ")</f>
        <v>16</v>
      </c>
      <c r="AA7" s="202">
        <f>IFERROR(INDEX('V2'!C$300:C$400,MATCH("*"&amp;L7&amp;"*",'V2'!B$300:B$400,0)),"  ")</f>
        <v>16</v>
      </c>
      <c r="AB7" s="202">
        <f>IFERROR(INDEX('V3'!C$300:C$400,MATCH("*"&amp;L7&amp;"*",'V3'!B$300:B$400,0)),"  ")</f>
        <v>22</v>
      </c>
      <c r="AC7" s="202">
        <f>IFERROR(INDEX('V4'!C$300:C$400,MATCH("*"&amp;L7&amp;"*",'V4'!B$300:B$400,0)),"  ")</f>
        <v>24</v>
      </c>
      <c r="AD7" s="202">
        <f>IFERROR(INDEX('V5'!C$300:C$400,MATCH("*"&amp;L7&amp;"*",'V5'!B$300:B$400,0)),"  ")</f>
        <v>30</v>
      </c>
      <c r="AE7" s="202">
        <f>IFERROR(INDEX('V6'!C$300:C$400,MATCH("*"&amp;L7&amp;"*",'V6'!B$300:B$400,0)),"  ")</f>
        <v>16</v>
      </c>
      <c r="AF7" s="202">
        <f>IFERROR(INDEX('V7'!C$300:C$400,MATCH("*"&amp;L7&amp;"*",'V7'!B$300:B$400,0)),"  ")</f>
        <v>28</v>
      </c>
      <c r="AG7" s="202">
        <f>IFERROR(INDEX('V8'!C$300:C$400,MATCH("*"&amp;L7&amp;"*",'V8'!B$300:B$400,0)),"  ")</f>
        <v>24</v>
      </c>
      <c r="AH7" s="202"/>
      <c r="AI7" s="202"/>
      <c r="AJ7" s="222">
        <f>IF(AN7&gt;(AT$2-1),K7,"")</f>
        <v>1</v>
      </c>
      <c r="AK7" s="223">
        <f>SUM(Z7:AI7)</f>
        <v>176</v>
      </c>
      <c r="AL7" s="224" t="str">
        <f>IFERROR("edasi "&amp;RANK(AJ7,AJ$7:AJ$126,1),K7)</f>
        <v>edasi 1</v>
      </c>
      <c r="AM7" s="225" t="str">
        <f>IFERROR(INDEX(#REF!,MATCH("*"&amp;L7&amp;"*",#REF!,0)),"  ")</f>
        <v>  </v>
      </c>
      <c r="AN7" s="226">
        <f>COUNTIF(Z7:AI7,"&gt;=0")</f>
        <v>8</v>
      </c>
      <c r="AO7" s="126">
        <f>IFERROR(IF(Z7+1&gt;LARGE(Z$7:Z$126,1)-2*LEN(Z$5),1),0)+IFERROR(IF(AA7+1&gt;LARGE(AA$7:AA$126,1)-2*LEN(AA$5),1),0)+IFERROR(IF(AB7+1&gt;LARGE(AB$7:AB$126,1)-2*LEN(AB$5),1),0)+IFERROR(IF(AC7+1&gt;LARGE(AC$7:AC$126,1)-2*LEN(AC$5),1),0)+IFERROR(IF(AD7+1&gt;LARGE(AD$7:AD$126,1)-2*LEN(AD$5),1),0)+IFERROR(IF(AE7+1&gt;LARGE(AE$7:AE$126,1)-2*LEN(AE$5),1),0)+IFERROR(IF(AF7+1&gt;LARGE(AF$7:AF$126,1)-2*LEN(AF$5),1),0)+IFERROR(IF(AG7+1&gt;LARGE(AG$7:AG$126,1)-2*LEN(AG$5),1),0)+IFERROR(IF(AH7+1&gt;LARGE(AH$7:AH$126,1)-2*LEN(AH$5),1),0)+IFERROR(IF(AI7+1&gt;LARGE(AI$7:AI$126,1)-2*LEN(AI$5),1),0)</f>
        <v>5</v>
      </c>
      <c r="AP7" s="126">
        <f>IF(Z7=0,0,IF(Z7=IFERROR(LARGE(Z$7:Z$126,1),0),1,0))+IF(AA7=0,0,IF(AA7=IFERROR(LARGE(AA$7:AA$126,1),0),1,0))+IF(AB7=0,0,IF(AB7=IFERROR(LARGE(AB$7:AB$126,1),0),1,0))+IF(AC7=0,0,IF(AC7=IFERROR(LARGE(AC$7:AC$126,1),0),1,0))+IF(AD7=0,0,IF(AD7=IFERROR(LARGE(AD$7:AD$126,1),0),1,0))+IF(AE7=0,0,IF(AE7=IFERROR(LARGE(AE$7:AE$126,1),0),1,0))+IF(AF7=0,0,IF(AF7=IFERROR(LARGE(AF$7:AF$126,1),0),1,0))+IF(AG7=0,0,IF(AG7=IFERROR(LARGE(AG$7:AG$126,1),0),1,0))+IF(AH7=0,0,IF(AH7=IFERROR(LARGE(AH$7:AH$126,1),0),1,0))+IF(AI7=0,0,IF(AI7=IFERROR(LARGE(AI$7:AI$126,1),0),1,0))</f>
        <v>1</v>
      </c>
      <c r="AQ7" s="233"/>
      <c r="AR7" s="233"/>
      <c r="AS7" s="233"/>
      <c r="AT7" s="234">
        <f>SMALL(AU7:BD7,AT$3)</f>
        <v>0.0009</v>
      </c>
      <c r="AU7" s="235">
        <f>IF(Z7="  ",0+MID(Z$6,FIND("V",Z$6)+1,256)/10000,Z7+MID(Z$6,FIND("V",Z$6)+1,256)/10000)</f>
        <v>16.0001</v>
      </c>
      <c r="AV7" s="235">
        <f>IF(AA7="  ",0+MID(AA$6,FIND("V",AA$6)+1,256)/10000,AA7+MID(AA$6,FIND("V",AA$6)+1,256)/10000)</f>
        <v>16.0002</v>
      </c>
      <c r="AW7" s="235">
        <f>IF(AB7="  ",0+MID(AB$6,FIND("V",AB$6)+1,256)/10000,AB7+MID(AB$6,FIND("V",AB$6)+1,256)/10000)</f>
        <v>22.0003</v>
      </c>
      <c r="AX7" s="235">
        <f>IF(AC7="  ",0+MID(AC$6,FIND("V",AC$6)+1,256)/10000,AC7+MID(AC$6,FIND("V",AC$6)+1,256)/10000)</f>
        <v>24.0004</v>
      </c>
      <c r="AY7" s="235">
        <f>IF(AD7="  ",0+MID(AD$6,FIND("V",AD$6)+1,256)/10000,AD7+MID(AD$6,FIND("V",AD$6)+1,256)/10000)</f>
        <v>30.0005</v>
      </c>
      <c r="AZ7" s="235">
        <f>IF(AE7="  ",0+MID(AE$6,FIND("V",AE$6)+1,256)/10000,AE7+MID(AE$6,FIND("V",AE$6)+1,256)/10000)</f>
        <v>16.0006</v>
      </c>
      <c r="BA7" s="235">
        <f>IF(AF7="  ",0+MID(AF$6,FIND("V",AF$6)+1,256)/10000,AF7+MID(AF$6,FIND("V",AF$6)+1,256)/10000)</f>
        <v>28.0007</v>
      </c>
      <c r="BB7" s="235">
        <f>IF(AG7="  ",0+MID(AG$6,FIND("V",AG$6)+1,256)/10000,AG7+MID(AG$6,FIND("V",AG$6)+1,256)/10000)</f>
        <v>24.0008</v>
      </c>
      <c r="BC7" s="235">
        <f>IF(AH7="  ",0+MID(AH$6,FIND("V",AH$6)+1,256)/10000,AH7+MID(AH$6,FIND("V",AH$6)+1,256)/10000)</f>
        <v>0.0009</v>
      </c>
      <c r="BD7" s="235">
        <f>IF(AI7="  ",0+MID(AI$6,FIND("V",AI$6)+1,256)/10000,AI7+MID(AI$6,FIND("V",AI$6)+1,256)/10000)</f>
        <v>0.001</v>
      </c>
      <c r="BE7" s="233"/>
      <c r="BF7" s="233"/>
      <c r="BG7" s="233"/>
      <c r="BH7" s="233"/>
      <c r="BI7" s="3">
        <f>(LARGE(Z$7:Z$126,1)-Z7)/2+1</f>
        <v>2</v>
      </c>
      <c r="BJ7" s="3">
        <f>(LARGE(AA$7:AA$126,1)-AA7)/2+1</f>
        <v>7</v>
      </c>
      <c r="BK7" s="3">
        <f>(LARGE(AB$7:AB$126,1)-AB7)/2+1</f>
        <v>3</v>
      </c>
      <c r="BL7" s="3">
        <f>(LARGE(AC$7:AC$126,1)-AC7)/2+1</f>
        <v>3</v>
      </c>
      <c r="BM7" s="3">
        <f>(LARGE(AD$7:AD$126,1)-AD7)/2+1</f>
        <v>6</v>
      </c>
      <c r="BN7" s="3">
        <f>(LARGE(AE$7:AE$126,1)-AE7)/2+1</f>
        <v>7</v>
      </c>
      <c r="BO7" s="3">
        <f>(LARGE(AF$7:AF$126,1)-AF7)/2+1</f>
        <v>1</v>
      </c>
      <c r="BP7" s="3">
        <f>(LARGE(AG$7:AG$126,1)-AG7)/2+1</f>
        <v>2</v>
      </c>
      <c r="BQ7" s="3" t="e">
        <f>(LARGE(AH$7:AH$126,1)-AH7)/2+1</f>
        <v>#NUM!</v>
      </c>
      <c r="BR7" s="3" t="e">
        <f>(LARGE(AI$7:AI$126,1)-AI7)/2+1</f>
        <v>#NUM!</v>
      </c>
    </row>
    <row r="8" spans="1:70">
      <c r="A8" s="139">
        <f>IF(R8&gt;0,IF(Q8="Viru SK",RANK(B8,B$7:B$126,1)-COUNTIF((Q$7:Q$126),"&lt;&gt;Viru SK"),""),"")</f>
        <v>2</v>
      </c>
      <c r="B8" s="140">
        <f>IF((Q8="Viru SK"),U8,U8-1000)</f>
        <v>2</v>
      </c>
      <c r="C8" s="141" t="str">
        <f>IF(R8&gt;0,IF(P8="t",RANK(D8,D$7:D$126,1)-COUNTBLANK(P$7:P$126),""),"")</f>
        <v/>
      </c>
      <c r="D8" s="142">
        <f>IF((P8="t"),U8,U8-1000)</f>
        <v>-998</v>
      </c>
      <c r="E8" s="143">
        <f>IF(R8&gt;0,IF(N8="m",RANK(F8,F$7:F$126,1)-COUNTBLANK(N$7:N$126),""),"")</f>
        <v>3</v>
      </c>
      <c r="F8" s="144">
        <f>IF((N8="m"),U8,U8-1000)</f>
        <v>2</v>
      </c>
      <c r="G8" s="145" t="str">
        <f>IF(R8&gt;0,IF(M8="n",RANK(H8,H$7:H$126,1)-COUNTBLANK(M$7:M$126),""),"")</f>
        <v/>
      </c>
      <c r="H8" s="144">
        <f>IF((M8="n"),U8,U8-1000)</f>
        <v>-998</v>
      </c>
      <c r="I8" s="160" t="str">
        <f>IF(R8&gt;0,IF(O8="j",RANK(J8,J$7:J$126,1)-COUNTBLANK(O$7:O$126),""),"")</f>
        <v/>
      </c>
      <c r="J8" s="161">
        <f>IF((O8="j"),U8,U8-1000)</f>
        <v>-998</v>
      </c>
      <c r="K8" s="162">
        <f>IF(R8&gt;0,RANK(U8,U$7:U$126,1),"")</f>
        <v>2</v>
      </c>
      <c r="L8" s="163" t="s">
        <v>194</v>
      </c>
      <c r="M8" s="164"/>
      <c r="N8" s="165" t="s">
        <v>193</v>
      </c>
      <c r="O8" s="166"/>
      <c r="P8" s="167"/>
      <c r="Q8" s="192" t="s">
        <v>171</v>
      </c>
      <c r="R8" s="154">
        <f>(IF(COUNT(Z8,AA8,AB8,AC8,AD8,AE8,AF8,AG8,AH8,AI8)&lt;10,SUM(Z8,AA8,AB8,AC8,AD8,AE8,AF8,AG8,AH8,AI8),SUM(LARGE((Z8,AA8,AB8,AC8,AD8,AE8,AF8,AG8,AH8,AI8),{1;2;3;4;5;6;7;8;9}))))</f>
        <v>170</v>
      </c>
      <c r="S8" s="193" t="str">
        <f>INDEX(ETAPP!B$1:B$32,MATCH(COUNTIF(BI8:BR8,1),ETAPP!A$1:A$32,0))&amp;INDEX(ETAPP!B$1:B$32,MATCH(COUNTIF(BI8:BR8,2),ETAPP!A$1:A$32,0))&amp;INDEX(ETAPP!B$1:B$32,MATCH(COUNTIF(BI8:BR8,3),ETAPP!A$1:A$32,0))&amp;INDEX(ETAPP!B$1:B$32,MATCH(COUNTIF(BI8:BR8,4),ETAPP!A$1:A$32,0))&amp;INDEX(ETAPP!B$1:B$32,MATCH(COUNTIF(BI8:BR8,5),ETAPP!A$1:A$32,0))&amp;INDEX(ETAPP!B$1:B$32,MATCH(COUNTIF(BI8:BR8,6),ETAPP!A$1:A$32,0))&amp;INDEX(ETAPP!B$1:B$32,MATCH(COUNTIF(BI8:BR8,7),ETAPP!A$1:A$32,0))&amp;INDEX(ETAPP!B$1:B$32,MATCH(COUNTIF(BI8:BR8,8),ETAPP!A$1:A$32,0))&amp;INDEX(ETAPP!B$1:B$32,MATCH(COUNTIF(BI8:BR8,9),ETAPP!A$1:A$32,0))&amp;INDEX(ETAPP!B$1:B$32,MATCH(COUNTIF(BI8:BR8,10),ETAPP!A$1:A$32,0))&amp;INDEX(ETAPP!B$1:B$32,MATCH(COUNTIF(BI8:BR8,11),ETAPP!A$1:A$32,0))&amp;INDEX(ETAPP!B$1:B$32,MATCH(COUNTIF(BI8:BR8,12),ETAPP!A$1:A$32,0))&amp;INDEX(ETAPP!B$1:B$32,MATCH(COUNTIF(BI8:BR8,13),ETAPP!A$1:A$32,0))&amp;INDEX(ETAPP!B$1:B$32,MATCH(COUNTIF(BI8:BR8,14),ETAPP!A$1:A$32,0))&amp;INDEX(ETAPP!B$1:B$32,MATCH(COUNTIF(BI8:BR8,15),ETAPP!A$1:A$32,0))&amp;INDEX(ETAPP!B$1:B$32,MATCH(COUNTIF(BI8:BR8,16),ETAPP!A$1:A$32,0))&amp;INDEX(ETAPP!B$1:B$32,MATCH(COUNTIF(BI8:BR8,17),ETAPP!A$1:A$32,0))&amp;INDEX(ETAPP!B$1:B$32,MATCH(COUNTIF(BI8:BR8,18),ETAPP!A$1:A$32,0))&amp;INDEX(ETAPP!B$1:B$32,MATCH(COUNTIF(BI8:BR8,19),ETAPP!A$1:A$32,0))&amp;INDEX(ETAPP!B$1:B$32,MATCH(COUNTIF(BI8:BR8,20),ETAPP!A$1:A$32,0))&amp;INDEX(ETAPP!B$1:B$32,MATCH(COUNTIF(BI8:BR8,21),ETAPP!A$1:A$32,0))</f>
        <v>E00A00000000000000000</v>
      </c>
      <c r="T8" s="193" t="str">
        <f>TEXT(R8,"000,0")&amp;"-"&amp;S8</f>
        <v>170,0-E00A00000000000000000</v>
      </c>
      <c r="U8" s="193">
        <f>COUNTIF(T$7:T$126,"&gt;="&amp;T8)</f>
        <v>2</v>
      </c>
      <c r="V8" s="193">
        <f>COUNTIF(L$7:L$126,"&gt;="&amp;L8)</f>
        <v>17</v>
      </c>
      <c r="W8" s="193" t="str">
        <f>TEXT(R8,"000,0")&amp;"-"&amp;S8&amp;"-"&amp;TEXT(V8,"000")</f>
        <v>170,0-E00A00000000000000000-017</v>
      </c>
      <c r="X8" s="193">
        <f>COUNTIF(W$7:W$126,"&gt;="&amp;W8)</f>
        <v>2</v>
      </c>
      <c r="Y8" s="201">
        <f>RANK(X8,X$7:X$126,0)</f>
        <v>119</v>
      </c>
      <c r="Z8" s="202" t="str">
        <f>IFERROR(INDEX('V1'!C$300:C$400,MATCH("*"&amp;L8&amp;"*",'V1'!B$300:B$400,0)),"  ")</f>
        <v>  </v>
      </c>
      <c r="AA8" s="202">
        <f>IFERROR(INDEX('V2'!C$300:C$400,MATCH("*"&amp;L8&amp;"*",'V2'!B$300:B$400,0)),"  ")</f>
        <v>28</v>
      </c>
      <c r="AB8" s="202">
        <f>IFERROR(INDEX('V3'!C$300:C$400,MATCH("*"&amp;L8&amp;"*",'V3'!B$300:B$400,0)),"  ")</f>
        <v>26</v>
      </c>
      <c r="AC8" s="202" t="str">
        <f>IFERROR(INDEX('V4'!C$300:C$400,MATCH("*"&amp;L8&amp;"*",'V4'!B$300:B$400,0)),"  ")</f>
        <v>  </v>
      </c>
      <c r="AD8" s="202">
        <f>IFERROR(INDEX('V5'!C$300:C$400,MATCH("*"&amp;L8&amp;"*",'V5'!B$300:B$400,0)),"  ")</f>
        <v>40</v>
      </c>
      <c r="AE8" s="202">
        <f>IFERROR(INDEX('V6'!C$300:C$400,MATCH("*"&amp;L8&amp;"*",'V6'!B$300:B$400,0)),"  ")</f>
        <v>28</v>
      </c>
      <c r="AF8" s="202">
        <f>IFERROR(INDEX('V7'!C$300:C$400,MATCH("*"&amp;L8&amp;"*",'V7'!B$300:B$400,0)),"  ")</f>
        <v>22</v>
      </c>
      <c r="AG8" s="202">
        <f>IFERROR(INDEX('V8'!C$300:C$400,MATCH("*"&amp;L8&amp;"*",'V8'!B$300:B$400,0)),"  ")</f>
        <v>26</v>
      </c>
      <c r="AH8" s="202"/>
      <c r="AI8" s="202"/>
      <c r="AJ8" s="222">
        <f>IF(AN8&gt;(AT$2-1),K8,"")</f>
        <v>2</v>
      </c>
      <c r="AK8" s="223">
        <f>SUM(Z8:AI8)</f>
        <v>170</v>
      </c>
      <c r="AL8" s="224" t="str">
        <f>IFERROR("edasi "&amp;RANK(AJ8,AJ$7:AJ$126,1),K8)</f>
        <v>edasi 2</v>
      </c>
      <c r="AM8" s="225" t="str">
        <f>IFERROR(INDEX(#REF!,MATCH("*"&amp;L8&amp;"*",#REF!,0)),"  ")</f>
        <v>  </v>
      </c>
      <c r="AN8" s="226">
        <f>COUNTIF(Z8:AI8,"&gt;=0")</f>
        <v>6</v>
      </c>
      <c r="AO8" s="126">
        <f>IFERROR(IF(Z8+1&gt;LARGE(Z$7:Z$126,1)-2*LEN(Z$5),1),0)+IFERROR(IF(AA8+1&gt;LARGE(AA$7:AA$126,1)-2*LEN(AA$5),1),0)+IFERROR(IF(AB8+1&gt;LARGE(AB$7:AB$126,1)-2*LEN(AB$5),1),0)+IFERROR(IF(AC8+1&gt;LARGE(AC$7:AC$126,1)-2*LEN(AC$5),1),0)+IFERROR(IF(AD8+1&gt;LARGE(AD$7:AD$126,1)-2*LEN(AD$5),1),0)+IFERROR(IF(AE8+1&gt;LARGE(AE$7:AE$126,1)-2*LEN(AE$5),1),0)+IFERROR(IF(AF8+1&gt;LARGE(AF$7:AF$126,1)-2*LEN(AF$5),1),0)+IFERROR(IF(AG8+1&gt;LARGE(AG$7:AG$126,1)-2*LEN(AG$5),1),0)+IFERROR(IF(AH8+1&gt;LARGE(AH$7:AH$126,1)-2*LEN(AH$5),1),0)+IFERROR(IF(AI8+1&gt;LARGE(AI$7:AI$126,1)-2*LEN(AI$5),1),0)</f>
        <v>5</v>
      </c>
      <c r="AP8" s="126">
        <f>IF(Z8=0,0,IF(Z8=IFERROR(LARGE(Z$7:Z$126,1),0),1,0))+IF(AA8=0,0,IF(AA8=IFERROR(LARGE(AA$7:AA$126,1),0),1,0))+IF(AB8=0,0,IF(AB8=IFERROR(LARGE(AB$7:AB$126,1),0),1,0))+IF(AC8=0,0,IF(AC8=IFERROR(LARGE(AC$7:AC$126,1),0),1,0))+IF(AD8=0,0,IF(AD8=IFERROR(LARGE(AD$7:AD$126,1),0),1,0))+IF(AE8=0,0,IF(AE8=IFERROR(LARGE(AE$7:AE$126,1),0),1,0))+IF(AF8=0,0,IF(AF8=IFERROR(LARGE(AF$7:AF$126,1),0),1,0))+IF(AG8=0,0,IF(AG8=IFERROR(LARGE(AG$7:AG$126,1),0),1,0))+IF(AH8=0,0,IF(AH8=IFERROR(LARGE(AH$7:AH$126,1),0),1,0))+IF(AI8=0,0,IF(AI8=IFERROR(LARGE(AI$7:AI$126,1),0),1,0))</f>
        <v>5</v>
      </c>
      <c r="AQ8" s="233"/>
      <c r="AR8" s="233"/>
      <c r="AS8" s="233"/>
      <c r="AT8" s="234">
        <f>SMALL(AU8:BD8,AT$3)</f>
        <v>0.0001</v>
      </c>
      <c r="AU8" s="235">
        <f>IF(Z8="  ",0+MID(Z$6,FIND("V",Z$6)+1,256)/10000,Z8+MID(Z$6,FIND("V",Z$6)+1,256)/10000)</f>
        <v>0.0001</v>
      </c>
      <c r="AV8" s="235">
        <f>IF(AA8="  ",0+MID(AA$6,FIND("V",AA$6)+1,256)/10000,AA8+MID(AA$6,FIND("V",AA$6)+1,256)/10000)</f>
        <v>28.0002</v>
      </c>
      <c r="AW8" s="235">
        <f>IF(AB8="  ",0+MID(AB$6,FIND("V",AB$6)+1,256)/10000,AB8+MID(AB$6,FIND("V",AB$6)+1,256)/10000)</f>
        <v>26.0003</v>
      </c>
      <c r="AX8" s="235">
        <f>IF(AC8="  ",0+MID(AC$6,FIND("V",AC$6)+1,256)/10000,AC8+MID(AC$6,FIND("V",AC$6)+1,256)/10000)</f>
        <v>0.0004</v>
      </c>
      <c r="AY8" s="235">
        <f>IF(AD8="  ",0+MID(AD$6,FIND("V",AD$6)+1,256)/10000,AD8+MID(AD$6,FIND("V",AD$6)+1,256)/10000)</f>
        <v>40.0005</v>
      </c>
      <c r="AZ8" s="235">
        <f>IF(AE8="  ",0+MID(AE$6,FIND("V",AE$6)+1,256)/10000,AE8+MID(AE$6,FIND("V",AE$6)+1,256)/10000)</f>
        <v>28.0006</v>
      </c>
      <c r="BA8" s="235">
        <f>IF(AF8="  ",0+MID(AF$6,FIND("V",AF$6)+1,256)/10000,AF8+MID(AF$6,FIND("V",AF$6)+1,256)/10000)</f>
        <v>22.0007</v>
      </c>
      <c r="BB8" s="235">
        <f>IF(AG8="  ",0+MID(AG$6,FIND("V",AG$6)+1,256)/10000,AG8+MID(AG$6,FIND("V",AG$6)+1,256)/10000)</f>
        <v>26.0008</v>
      </c>
      <c r="BC8" s="235">
        <f>IF(AH8="  ",0+MID(AH$6,FIND("V",AH$6)+1,256)/10000,AH8+MID(AH$6,FIND("V",AH$6)+1,256)/10000)</f>
        <v>0.0009</v>
      </c>
      <c r="BD8" s="235">
        <f>IF(AI8="  ",0+MID(AI$6,FIND("V",AI$6)+1,256)/10000,AI8+MID(AI$6,FIND("V",AI$6)+1,256)/10000)</f>
        <v>0.001</v>
      </c>
      <c r="BE8" s="233"/>
      <c r="BF8" s="233"/>
      <c r="BG8" s="233"/>
      <c r="BH8" s="233"/>
      <c r="BI8" s="3" t="e">
        <f>(LARGE(Z$7:Z$126,1)-Z8)/2+1</f>
        <v>#VALUE!</v>
      </c>
      <c r="BJ8" s="3">
        <f>(LARGE(AA$7:AA$126,1)-AA8)/2+1</f>
        <v>1</v>
      </c>
      <c r="BK8" s="3">
        <f>(LARGE(AB$7:AB$126,1)-AB8)/2+1</f>
        <v>1</v>
      </c>
      <c r="BL8" s="3" t="e">
        <f>(LARGE(AC$7:AC$126,1)-AC8)/2+1</f>
        <v>#VALUE!</v>
      </c>
      <c r="BM8" s="3">
        <f>(LARGE(AD$7:AD$126,1)-AD8)/2+1</f>
        <v>1</v>
      </c>
      <c r="BN8" s="3">
        <f>(LARGE(AE$7:AE$126,1)-AE8)/2+1</f>
        <v>1</v>
      </c>
      <c r="BO8" s="3">
        <f>(LARGE(AF$7:AF$126,1)-AF8)/2+1</f>
        <v>4</v>
      </c>
      <c r="BP8" s="3">
        <f>(LARGE(AG$7:AG$126,1)-AG8)/2+1</f>
        <v>1</v>
      </c>
      <c r="BQ8" s="3" t="e">
        <f>(LARGE(AH$7:AH$126,1)-AH8)/2+1</f>
        <v>#NUM!</v>
      </c>
      <c r="BR8" s="3" t="e">
        <f>(LARGE(AI$7:AI$126,1)-AI8)/2+1</f>
        <v>#NUM!</v>
      </c>
    </row>
    <row r="9" spans="1:70">
      <c r="A9" s="139">
        <f>IF(R9&gt;0,IF(Q9="Viru SK",RANK(B9,B$7:B$126,1)-COUNTIF((Q$7:Q$126),"&lt;&gt;Viru SK"),""),"")</f>
        <v>3</v>
      </c>
      <c r="B9" s="140">
        <f>IF((Q9="Viru SK"),U9,U9-1000)</f>
        <v>3</v>
      </c>
      <c r="C9" s="141">
        <f>IF(R9&gt;0,IF(P9="t",RANK(D9,D$7:D$126,1)-COUNTBLANK(P$7:P$126),""),"")</f>
        <v>1</v>
      </c>
      <c r="D9" s="142">
        <f>IF((P9="t"),U9,U9-1000)</f>
        <v>3</v>
      </c>
      <c r="E9" s="143">
        <f>IF(R9&gt;0,IF(N9="m",RANK(F9,F$7:F$126,1)-COUNTBLANK(N$7:N$126),""),"")</f>
        <v>4</v>
      </c>
      <c r="F9" s="144">
        <f>IF((N9="m"),U9,U9-1000)</f>
        <v>3</v>
      </c>
      <c r="G9" s="145" t="str">
        <f>IF(R9&gt;0,IF(M9="n",RANK(H9,H$7:H$126,1)-COUNTBLANK(M$7:M$126),""),"")</f>
        <v/>
      </c>
      <c r="H9" s="144">
        <f>IF((M9="n"),U9,U9-1000)</f>
        <v>-997</v>
      </c>
      <c r="I9" s="160" t="str">
        <f>IF(R9&gt;0,IF(O9="j",RANK(J9,J$7:J$126,1)-COUNTBLANK(O$7:O$126),""),"")</f>
        <v/>
      </c>
      <c r="J9" s="161">
        <f>IF((O9="j"),U9,U9-1000)</f>
        <v>-997</v>
      </c>
      <c r="K9" s="162">
        <f>IF(R9&gt;0,RANK(U9,U$7:U$126,1),"")</f>
        <v>3</v>
      </c>
      <c r="L9" s="168" t="s">
        <v>195</v>
      </c>
      <c r="M9" s="164"/>
      <c r="N9" s="165" t="str">
        <f>IF(M9="","m","")</f>
        <v>m</v>
      </c>
      <c r="O9" s="166"/>
      <c r="P9" s="167" t="s">
        <v>196</v>
      </c>
      <c r="Q9" s="192" t="s">
        <v>171</v>
      </c>
      <c r="R9" s="154">
        <f>(IF(COUNT(Z9,AA9,AB9,AC9,AD9,AE9,AF9,AG9,AH9,AI9)&lt;10,SUM(Z9,AA9,AB9,AC9,AD9,AE9,AF9,AG9,AH9,AI9),SUM(LARGE((Z9,AA9,AB9,AC9,AD9,AE9,AF9,AG9,AH9,AI9),{1;2;3;4;5;6;7;8;9}))))</f>
        <v>150</v>
      </c>
      <c r="S9" s="193" t="str">
        <f>INDEX(ETAPP!B$1:B$32,MATCH(COUNTIF(BI9:BR9,1),ETAPP!A$1:A$32,0))&amp;INDEX(ETAPP!B$1:B$32,MATCH(COUNTIF(BI9:BR9,2),ETAPP!A$1:A$32,0))&amp;INDEX(ETAPP!B$1:B$32,MATCH(COUNTIF(BI9:BR9,3),ETAPP!A$1:A$32,0))&amp;INDEX(ETAPP!B$1:B$32,MATCH(COUNTIF(BI9:BR9,4),ETAPP!A$1:A$32,0))&amp;INDEX(ETAPP!B$1:B$32,MATCH(COUNTIF(BI9:BR9,5),ETAPP!A$1:A$32,0))&amp;INDEX(ETAPP!B$1:B$32,MATCH(COUNTIF(BI9:BR9,6),ETAPP!A$1:A$32,0))&amp;INDEX(ETAPP!B$1:B$32,MATCH(COUNTIF(BI9:BR9,7),ETAPP!A$1:A$32,0))&amp;INDEX(ETAPP!B$1:B$32,MATCH(COUNTIF(BI9:BR9,8),ETAPP!A$1:A$32,0))&amp;INDEX(ETAPP!B$1:B$32,MATCH(COUNTIF(BI9:BR9,9),ETAPP!A$1:A$32,0))&amp;INDEX(ETAPP!B$1:B$32,MATCH(COUNTIF(BI9:BR9,10),ETAPP!A$1:A$32,0))&amp;INDEX(ETAPP!B$1:B$32,MATCH(COUNTIF(BI9:BR9,11),ETAPP!A$1:A$32,0))&amp;INDEX(ETAPP!B$1:B$32,MATCH(COUNTIF(BI9:BR9,12),ETAPP!A$1:A$32,0))&amp;INDEX(ETAPP!B$1:B$32,MATCH(COUNTIF(BI9:BR9,13),ETAPP!A$1:A$32,0))&amp;INDEX(ETAPP!B$1:B$32,MATCH(COUNTIF(BI9:BR9,14),ETAPP!A$1:A$32,0))&amp;INDEX(ETAPP!B$1:B$32,MATCH(COUNTIF(BI9:BR9,15),ETAPP!A$1:A$32,0))&amp;INDEX(ETAPP!B$1:B$32,MATCH(COUNTIF(BI9:BR9,16),ETAPP!A$1:A$32,0))&amp;INDEX(ETAPP!B$1:B$32,MATCH(COUNTIF(BI9:BR9,17),ETAPP!A$1:A$32,0))&amp;INDEX(ETAPP!B$1:B$32,MATCH(COUNTIF(BI9:BR9,18),ETAPP!A$1:A$32,0))&amp;INDEX(ETAPP!B$1:B$32,MATCH(COUNTIF(BI9:BR9,19),ETAPP!A$1:A$32,0))&amp;INDEX(ETAPP!B$1:B$32,MATCH(COUNTIF(BI9:BR9,20),ETAPP!A$1:A$32,0))&amp;INDEX(ETAPP!B$1:B$32,MATCH(COUNTIF(BI9:BR9,21),ETAPP!A$1:A$32,0))</f>
        <v>D00A00A00000000000000</v>
      </c>
      <c r="T9" s="193" t="str">
        <f>TEXT(R9,"000,0")&amp;"-"&amp;S9</f>
        <v>150,0-D00A00A00000000000000</v>
      </c>
      <c r="U9" s="193">
        <f>COUNTIF(T$7:T$126,"&gt;="&amp;T9)</f>
        <v>3</v>
      </c>
      <c r="V9" s="193">
        <f>COUNTIF(L$7:L$126,"&gt;="&amp;L9)</f>
        <v>90</v>
      </c>
      <c r="W9" s="193" t="str">
        <f>TEXT(R9,"000,0")&amp;"-"&amp;S9&amp;"-"&amp;TEXT(V9,"000")</f>
        <v>150,0-D00A00A00000000000000-090</v>
      </c>
      <c r="X9" s="193">
        <f>COUNTIF(W$7:W$126,"&gt;="&amp;W9)</f>
        <v>3</v>
      </c>
      <c r="Y9" s="201">
        <f>RANK(X9,X$7:X$126,0)</f>
        <v>118</v>
      </c>
      <c r="Z9" s="202">
        <f>IFERROR(INDEX('V1'!C$300:C$400,MATCH("*"&amp;L9&amp;"*",'V1'!B$300:B$400,0)),"  ")</f>
        <v>12</v>
      </c>
      <c r="AA9" s="202">
        <f>IFERROR(INDEX('V2'!C$300:C$400,MATCH("*"&amp;L9&amp;"*",'V2'!B$300:B$400,0)),"  ")</f>
        <v>28</v>
      </c>
      <c r="AB9" s="202" t="str">
        <f>IFERROR(INDEX('V3'!C$300:C$400,MATCH("*"&amp;L9&amp;"*",'V3'!B$300:B$400,0)),"  ")</f>
        <v>  </v>
      </c>
      <c r="AC9" s="202" t="str">
        <f>IFERROR(INDEX('V4'!C$300:C$400,MATCH("*"&amp;L9&amp;"*",'V4'!B$300:B$400,0)),"  ")</f>
        <v>  </v>
      </c>
      <c r="AD9" s="202">
        <f>IFERROR(INDEX('V5'!C$300:C$400,MATCH("*"&amp;L9&amp;"*",'V5'!B$300:B$400,0)),"  ")</f>
        <v>40</v>
      </c>
      <c r="AE9" s="202">
        <f>IFERROR(INDEX('V6'!C$300:C$400,MATCH("*"&amp;L9&amp;"*",'V6'!B$300:B$400,0)),"  ")</f>
        <v>28</v>
      </c>
      <c r="AF9" s="202">
        <f>IFERROR(INDEX('V7'!C$300:C$400,MATCH("*"&amp;L9&amp;"*",'V7'!B$300:B$400,0)),"  ")</f>
        <v>28</v>
      </c>
      <c r="AG9" s="202">
        <f>IFERROR(INDEX('V8'!C$300:C$400,MATCH("*"&amp;L9&amp;"*",'V8'!B$300:B$400,0)),"  ")</f>
        <v>14</v>
      </c>
      <c r="AH9" s="202"/>
      <c r="AI9" s="202"/>
      <c r="AJ9" s="222">
        <f>IF(AN9&gt;(AT$2-1),K9,"")</f>
        <v>3</v>
      </c>
      <c r="AK9" s="223">
        <f>SUM(Z9:AI9)</f>
        <v>150</v>
      </c>
      <c r="AL9" s="224" t="str">
        <f>IFERROR("edasi "&amp;RANK(AJ9,AJ$7:AJ$126,1),K9)</f>
        <v>edasi 3</v>
      </c>
      <c r="AM9" s="225" t="str">
        <f>IFERROR(INDEX(#REF!,MATCH("*"&amp;L9&amp;"*",#REF!,0)),"  ")</f>
        <v>  </v>
      </c>
      <c r="AN9" s="226">
        <f>COUNTIF(Z9:AI9,"&gt;=0")</f>
        <v>6</v>
      </c>
      <c r="AO9" s="126">
        <f>IFERROR(IF(Z9+1&gt;LARGE(Z$7:Z$126,1)-2*LEN(Z$5),1),0)+IFERROR(IF(AA9+1&gt;LARGE(AA$7:AA$126,1)-2*LEN(AA$5),1),0)+IFERROR(IF(AB9+1&gt;LARGE(AB$7:AB$126,1)-2*LEN(AB$5),1),0)+IFERROR(IF(AC9+1&gt;LARGE(AC$7:AC$126,1)-2*LEN(AC$5),1),0)+IFERROR(IF(AD9+1&gt;LARGE(AD$7:AD$126,1)-2*LEN(AD$5),1),0)+IFERROR(IF(AE9+1&gt;LARGE(AE$7:AE$126,1)-2*LEN(AE$5),1),0)+IFERROR(IF(AF9+1&gt;LARGE(AF$7:AF$126,1)-2*LEN(AF$5),1),0)+IFERROR(IF(AG9+1&gt;LARGE(AG$7:AG$126,1)-2*LEN(AG$5),1),0)+IFERROR(IF(AH9+1&gt;LARGE(AH$7:AH$126,1)-2*LEN(AH$5),1),0)+IFERROR(IF(AI9+1&gt;LARGE(AI$7:AI$126,1)-2*LEN(AI$5),1),0)</f>
        <v>4</v>
      </c>
      <c r="AP9" s="126">
        <f>IF(Z9=0,0,IF(Z9=IFERROR(LARGE(Z$7:Z$126,1),0),1,0))+IF(AA9=0,0,IF(AA9=IFERROR(LARGE(AA$7:AA$126,1),0),1,0))+IF(AB9=0,0,IF(AB9=IFERROR(LARGE(AB$7:AB$126,1),0),1,0))+IF(AC9=0,0,IF(AC9=IFERROR(LARGE(AC$7:AC$126,1),0),1,0))+IF(AD9=0,0,IF(AD9=IFERROR(LARGE(AD$7:AD$126,1),0),1,0))+IF(AE9=0,0,IF(AE9=IFERROR(LARGE(AE$7:AE$126,1),0),1,0))+IF(AF9=0,0,IF(AF9=IFERROR(LARGE(AF$7:AF$126,1),0),1,0))+IF(AG9=0,0,IF(AG9=IFERROR(LARGE(AG$7:AG$126,1),0),1,0))+IF(AH9=0,0,IF(AH9=IFERROR(LARGE(AH$7:AH$126,1),0),1,0))+IF(AI9=0,0,IF(AI9=IFERROR(LARGE(AI$7:AI$126,1),0),1,0))</f>
        <v>4</v>
      </c>
      <c r="AQ9" s="233"/>
      <c r="AR9" s="233"/>
      <c r="AS9" s="233"/>
      <c r="AT9" s="234">
        <f>SMALL(AU9:BD9,AT$3)</f>
        <v>0.0003</v>
      </c>
      <c r="AU9" s="235">
        <f>IF(Z9="  ",0+MID(Z$6,FIND("V",Z$6)+1,256)/10000,Z9+MID(Z$6,FIND("V",Z$6)+1,256)/10000)</f>
        <v>12.0001</v>
      </c>
      <c r="AV9" s="235">
        <f>IF(AA9="  ",0+MID(AA$6,FIND("V",AA$6)+1,256)/10000,AA9+MID(AA$6,FIND("V",AA$6)+1,256)/10000)</f>
        <v>28.0002</v>
      </c>
      <c r="AW9" s="235">
        <f>IF(AB9="  ",0+MID(AB$6,FIND("V",AB$6)+1,256)/10000,AB9+MID(AB$6,FIND("V",AB$6)+1,256)/10000)</f>
        <v>0.0003</v>
      </c>
      <c r="AX9" s="235">
        <f>IF(AC9="  ",0+MID(AC$6,FIND("V",AC$6)+1,256)/10000,AC9+MID(AC$6,FIND("V",AC$6)+1,256)/10000)</f>
        <v>0.0004</v>
      </c>
      <c r="AY9" s="235">
        <f>IF(AD9="  ",0+MID(AD$6,FIND("V",AD$6)+1,256)/10000,AD9+MID(AD$6,FIND("V",AD$6)+1,256)/10000)</f>
        <v>40.0005</v>
      </c>
      <c r="AZ9" s="235">
        <f>IF(AE9="  ",0+MID(AE$6,FIND("V",AE$6)+1,256)/10000,AE9+MID(AE$6,FIND("V",AE$6)+1,256)/10000)</f>
        <v>28.0006</v>
      </c>
      <c r="BA9" s="235">
        <f>IF(AF9="  ",0+MID(AF$6,FIND("V",AF$6)+1,256)/10000,AF9+MID(AF$6,FIND("V",AF$6)+1,256)/10000)</f>
        <v>28.0007</v>
      </c>
      <c r="BB9" s="235">
        <f>IF(AG9="  ",0+MID(AG$6,FIND("V",AG$6)+1,256)/10000,AG9+MID(AG$6,FIND("V",AG$6)+1,256)/10000)</f>
        <v>14.0008</v>
      </c>
      <c r="BC9" s="235">
        <f>IF(AH9="  ",0+MID(AH$6,FIND("V",AH$6)+1,256)/10000,AH9+MID(AH$6,FIND("V",AH$6)+1,256)/10000)</f>
        <v>0.0009</v>
      </c>
      <c r="BD9" s="235">
        <f>IF(AI9="  ",0+MID(AI$6,FIND("V",AI$6)+1,256)/10000,AI9+MID(AI$6,FIND("V",AI$6)+1,256)/10000)</f>
        <v>0.001</v>
      </c>
      <c r="BE9" s="233"/>
      <c r="BF9" s="233"/>
      <c r="BG9" s="233"/>
      <c r="BH9" s="233"/>
      <c r="BI9" s="3">
        <f>(LARGE(Z$7:Z$126,1)-Z9)/2+1</f>
        <v>4</v>
      </c>
      <c r="BJ9" s="3">
        <f>(LARGE(AA$7:AA$126,1)-AA9)/2+1</f>
        <v>1</v>
      </c>
      <c r="BK9" s="3" t="e">
        <f>(LARGE(AB$7:AB$126,1)-AB9)/2+1</f>
        <v>#VALUE!</v>
      </c>
      <c r="BL9" s="3" t="e">
        <f>(LARGE(AC$7:AC$126,1)-AC9)/2+1</f>
        <v>#VALUE!</v>
      </c>
      <c r="BM9" s="3">
        <f>(LARGE(AD$7:AD$126,1)-AD9)/2+1</f>
        <v>1</v>
      </c>
      <c r="BN9" s="3">
        <f>(LARGE(AE$7:AE$126,1)-AE9)/2+1</f>
        <v>1</v>
      </c>
      <c r="BO9" s="3">
        <f>(LARGE(AF$7:AF$126,1)-AF9)/2+1</f>
        <v>1</v>
      </c>
      <c r="BP9" s="3">
        <f>(LARGE(AG$7:AG$126,1)-AG9)/2+1</f>
        <v>7</v>
      </c>
      <c r="BQ9" s="3" t="e">
        <f>(LARGE(AH$7:AH$126,1)-AH9)/2+1</f>
        <v>#NUM!</v>
      </c>
      <c r="BR9" s="3" t="e">
        <f>(LARGE(AI$7:AI$126,1)-AI9)/2+1</f>
        <v>#NUM!</v>
      </c>
    </row>
    <row r="10" spans="1:70">
      <c r="A10" s="139" t="str">
        <f>IF(R10&gt;0,IF(Q10="Viru SK",RANK(B10,B$7:B$126,1)-COUNTIF((Q$7:Q$126),"&lt;&gt;Viru SK"),""),"")</f>
        <v/>
      </c>
      <c r="B10" s="140">
        <f>IF((Q10="Viru SK"),U10,U10-1000)</f>
        <v>-996</v>
      </c>
      <c r="C10" s="141" t="str">
        <f>IF(R10&gt;0,IF(P10="t",RANK(D10,D$7:D$126,1)-COUNTBLANK(P$7:P$126),""),"")</f>
        <v/>
      </c>
      <c r="D10" s="142">
        <f>IF((P10="t"),U10,U10-1000)</f>
        <v>-996</v>
      </c>
      <c r="E10" s="143">
        <f>IF(R10&gt;0,IF(N10="m",RANK(F10,F$7:F$126,1)-COUNTBLANK(N$7:N$126),""),"")</f>
        <v>5</v>
      </c>
      <c r="F10" s="144">
        <f>IF((N10="m"),U10,U10-1000)</f>
        <v>4</v>
      </c>
      <c r="G10" s="145" t="str">
        <f>IF(R10&gt;0,IF(M10="n",RANK(H10,H$7:H$126,1)-COUNTBLANK(M$7:M$126),""),"")</f>
        <v/>
      </c>
      <c r="H10" s="144">
        <f>IF((M10="n"),U10,U10-1000)</f>
        <v>-996</v>
      </c>
      <c r="I10" s="160" t="str">
        <f>IF(R10&gt;0,IF(O10="j",RANK(J10,J$7:J$126,1)-COUNTBLANK(O$7:O$126),""),"")</f>
        <v/>
      </c>
      <c r="J10" s="161">
        <f>IF((O10="j"),U10,U10-1000)</f>
        <v>-996</v>
      </c>
      <c r="K10" s="162">
        <f>IF(R10&gt;0,RANK(U10,U$7:U$126,1),"")</f>
        <v>4</v>
      </c>
      <c r="L10" s="163" t="s">
        <v>197</v>
      </c>
      <c r="M10" s="164"/>
      <c r="N10" s="165" t="s">
        <v>193</v>
      </c>
      <c r="O10" s="166"/>
      <c r="P10" s="167"/>
      <c r="Q10" s="192" t="s">
        <v>198</v>
      </c>
      <c r="R10" s="154">
        <f>(IF(COUNT(Z10,AA10,AB10,AC10,AD10,AE10,AF10,AG10,AH10,AI10)&lt;10,SUM(Z10,AA10,AB10,AC10,AD10,AE10,AF10,AG10,AH10,AI10),SUM(LARGE((Z10,AA10,AB10,AC10,AD10,AE10,AF10,AG10,AH10,AI10),{1;2;3;4;5;6;7;8;9}))))</f>
        <v>148</v>
      </c>
      <c r="S10" s="193" t="str">
        <f>INDEX(ETAPP!B$1:B$32,MATCH(COUNTIF(BI10:BR10,1),ETAPP!A$1:A$32,0))&amp;INDEX(ETAPP!B$1:B$32,MATCH(COUNTIF(BI10:BR10,2),ETAPP!A$1:A$32,0))&amp;INDEX(ETAPP!B$1:B$32,MATCH(COUNTIF(BI10:BR10,3),ETAPP!A$1:A$32,0))&amp;INDEX(ETAPP!B$1:B$32,MATCH(COUNTIF(BI10:BR10,4),ETAPP!A$1:A$32,0))&amp;INDEX(ETAPP!B$1:B$32,MATCH(COUNTIF(BI10:BR10,5),ETAPP!A$1:A$32,0))&amp;INDEX(ETAPP!B$1:B$32,MATCH(COUNTIF(BI10:BR10,6),ETAPP!A$1:A$32,0))&amp;INDEX(ETAPP!B$1:B$32,MATCH(COUNTIF(BI10:BR10,7),ETAPP!A$1:A$32,0))&amp;INDEX(ETAPP!B$1:B$32,MATCH(COUNTIF(BI10:BR10,8),ETAPP!A$1:A$32,0))&amp;INDEX(ETAPP!B$1:B$32,MATCH(COUNTIF(BI10:BR10,9),ETAPP!A$1:A$32,0))&amp;INDEX(ETAPP!B$1:B$32,MATCH(COUNTIF(BI10:BR10,10),ETAPP!A$1:A$32,0))&amp;INDEX(ETAPP!B$1:B$32,MATCH(COUNTIF(BI10:BR10,11),ETAPP!A$1:A$32,0))&amp;INDEX(ETAPP!B$1:B$32,MATCH(COUNTIF(BI10:BR10,12),ETAPP!A$1:A$32,0))&amp;INDEX(ETAPP!B$1:B$32,MATCH(COUNTIF(BI10:BR10,13),ETAPP!A$1:A$32,0))&amp;INDEX(ETAPP!B$1:B$32,MATCH(COUNTIF(BI10:BR10,14),ETAPP!A$1:A$32,0))&amp;INDEX(ETAPP!B$1:B$32,MATCH(COUNTIF(BI10:BR10,15),ETAPP!A$1:A$32,0))&amp;INDEX(ETAPP!B$1:B$32,MATCH(COUNTIF(BI10:BR10,16),ETAPP!A$1:A$32,0))&amp;INDEX(ETAPP!B$1:B$32,MATCH(COUNTIF(BI10:BR10,17),ETAPP!A$1:A$32,0))&amp;INDEX(ETAPP!B$1:B$32,MATCH(COUNTIF(BI10:BR10,18),ETAPP!A$1:A$32,0))&amp;INDEX(ETAPP!B$1:B$32,MATCH(COUNTIF(BI10:BR10,19),ETAPP!A$1:A$32,0))&amp;INDEX(ETAPP!B$1:B$32,MATCH(COUNTIF(BI10:BR10,20),ETAPP!A$1:A$32,0))&amp;INDEX(ETAPP!B$1:B$32,MATCH(COUNTIF(BI10:BR10,21),ETAPP!A$1:A$32,0))</f>
        <v>ABA0A00A0A000A0000000</v>
      </c>
      <c r="T10" s="193" t="str">
        <f>TEXT(R10,"000,0")&amp;"-"&amp;S10</f>
        <v>148,0-ABA0A00A0A000A0000000</v>
      </c>
      <c r="U10" s="193">
        <f>COUNTIF(T$7:T$126,"&gt;="&amp;T10)</f>
        <v>4</v>
      </c>
      <c r="V10" s="193">
        <f>COUNTIF(L$7:L$126,"&gt;="&amp;L10)</f>
        <v>44</v>
      </c>
      <c r="W10" s="193" t="str">
        <f>TEXT(R10,"000,0")&amp;"-"&amp;S10&amp;"-"&amp;TEXT(V10,"000")</f>
        <v>148,0-ABA0A00A0A000A0000000-044</v>
      </c>
      <c r="X10" s="193">
        <f>COUNTIF(W$7:W$126,"&gt;="&amp;W10)</f>
        <v>4</v>
      </c>
      <c r="Y10" s="201">
        <f>RANK(X10,X$7:X$126,0)</f>
        <v>117</v>
      </c>
      <c r="Z10" s="202">
        <f>IFERROR(INDEX('V1'!C$300:C$400,MATCH("*"&amp;L10&amp;"*",'V1'!B$300:B$400,0)),"  ")</f>
        <v>18</v>
      </c>
      <c r="AA10" s="202">
        <f>IFERROR(INDEX('V2'!C$300:C$400,MATCH("*"&amp;L10&amp;"*",'V2'!B$300:B$400,0)),"  ")</f>
        <v>10</v>
      </c>
      <c r="AB10" s="202">
        <f>IFERROR(INDEX('V3'!C$300:C$400,MATCH("*"&amp;L10&amp;"*",'V3'!B$300:B$400,0)),"  ")</f>
        <v>18</v>
      </c>
      <c r="AC10" s="202">
        <f>IFERROR(INDEX('V4'!C$300:C$400,MATCH("*"&amp;L10&amp;"*",'V4'!B$300:B$400,0)),"  ")</f>
        <v>26</v>
      </c>
      <c r="AD10" s="202">
        <f>IFERROR(INDEX('V5'!C$300:C$400,MATCH("*"&amp;L10&amp;"*",'V5'!B$300:B$400,0)),"  ")</f>
        <v>14</v>
      </c>
      <c r="AE10" s="202">
        <f>IFERROR(INDEX('V6'!C$300:C$400,MATCH("*"&amp;L10&amp;"*",'V6'!B$300:B$400,0)),"  ")</f>
        <v>24</v>
      </c>
      <c r="AF10" s="202">
        <f>IFERROR(INDEX('V7'!C$300:C$400,MATCH("*"&amp;L10&amp;"*",'V7'!B$300:B$400,0)),"  ")</f>
        <v>14</v>
      </c>
      <c r="AG10" s="202">
        <f>IFERROR(INDEX('V8'!C$300:C$400,MATCH("*"&amp;L10&amp;"*",'V8'!B$300:B$400,0)),"  ")</f>
        <v>24</v>
      </c>
      <c r="AH10" s="202"/>
      <c r="AI10" s="202"/>
      <c r="AJ10" s="222">
        <f>IF(AN10&gt;(AT$2-1),K10,"")</f>
        <v>4</v>
      </c>
      <c r="AK10" s="223">
        <f>SUM(Z10:AI10)</f>
        <v>148</v>
      </c>
      <c r="AL10" s="224" t="str">
        <f>IFERROR("edasi "&amp;RANK(AJ10,AJ$7:AJ$126,1),K10)</f>
        <v>edasi 4</v>
      </c>
      <c r="AM10" s="225" t="str">
        <f>IFERROR(INDEX(#REF!,MATCH("*"&amp;L10&amp;"*",#REF!,0)),"  ")</f>
        <v>  </v>
      </c>
      <c r="AN10" s="226">
        <f>COUNTIF(Z10:AI10,"&gt;=0")</f>
        <v>8</v>
      </c>
      <c r="AO10" s="126">
        <f>IFERROR(IF(Z10+1&gt;LARGE(Z$7:Z$126,1)-2*LEN(Z$5),1),0)+IFERROR(IF(AA10+1&gt;LARGE(AA$7:AA$126,1)-2*LEN(AA$5),1),0)+IFERROR(IF(AB10+1&gt;LARGE(AB$7:AB$126,1)-2*LEN(AB$5),1),0)+IFERROR(IF(AC10+1&gt;LARGE(AC$7:AC$126,1)-2*LEN(AC$5),1),0)+IFERROR(IF(AD10+1&gt;LARGE(AD$7:AD$126,1)-2*LEN(AD$5),1),0)+IFERROR(IF(AE10+1&gt;LARGE(AE$7:AE$126,1)-2*LEN(AE$5),1),0)+IFERROR(IF(AF10+1&gt;LARGE(AF$7:AF$126,1)-2*LEN(AF$5),1),0)+IFERROR(IF(AG10+1&gt;LARGE(AG$7:AG$126,1)-2*LEN(AG$5),1),0)+IFERROR(IF(AH10+1&gt;LARGE(AH$7:AH$126,1)-2*LEN(AH$5),1),0)+IFERROR(IF(AI10+1&gt;LARGE(AI$7:AI$126,1)-2*LEN(AI$5),1),0)</f>
        <v>4</v>
      </c>
      <c r="AP10" s="126">
        <f>IF(Z10=0,0,IF(Z10=IFERROR(LARGE(Z$7:Z$126,1),0),1,0))+IF(AA10=0,0,IF(AA10=IFERROR(LARGE(AA$7:AA$126,1),0),1,0))+IF(AB10=0,0,IF(AB10=IFERROR(LARGE(AB$7:AB$126,1),0),1,0))+IF(AC10=0,0,IF(AC10=IFERROR(LARGE(AC$7:AC$126,1),0),1,0))+IF(AD10=0,0,IF(AD10=IFERROR(LARGE(AD$7:AD$126,1),0),1,0))+IF(AE10=0,0,IF(AE10=IFERROR(LARGE(AE$7:AE$126,1),0),1,0))+IF(AF10=0,0,IF(AF10=IFERROR(LARGE(AF$7:AF$126,1),0),1,0))+IF(AG10=0,0,IF(AG10=IFERROR(LARGE(AG$7:AG$126,1),0),1,0))+IF(AH10=0,0,IF(AH10=IFERROR(LARGE(AH$7:AH$126,1),0),1,0))+IF(AI10=0,0,IF(AI10=IFERROR(LARGE(AI$7:AI$126,1),0),1,0))</f>
        <v>1</v>
      </c>
      <c r="AQ10" s="233"/>
      <c r="AR10" s="233"/>
      <c r="AS10" s="233"/>
      <c r="AT10" s="234">
        <f>SMALL(AU10:BD10,AT$3)</f>
        <v>0.0009</v>
      </c>
      <c r="AU10" s="235">
        <f>IF(Z10="  ",0+MID(Z$6,FIND("V",Z$6)+1,256)/10000,Z10+MID(Z$6,FIND("V",Z$6)+1,256)/10000)</f>
        <v>18.0001</v>
      </c>
      <c r="AV10" s="235">
        <f>IF(AA10="  ",0+MID(AA$6,FIND("V",AA$6)+1,256)/10000,AA10+MID(AA$6,FIND("V",AA$6)+1,256)/10000)</f>
        <v>10.0002</v>
      </c>
      <c r="AW10" s="235">
        <f>IF(AB10="  ",0+MID(AB$6,FIND("V",AB$6)+1,256)/10000,AB10+MID(AB$6,FIND("V",AB$6)+1,256)/10000)</f>
        <v>18.0003</v>
      </c>
      <c r="AX10" s="235">
        <f>IF(AC10="  ",0+MID(AC$6,FIND("V",AC$6)+1,256)/10000,AC10+MID(AC$6,FIND("V",AC$6)+1,256)/10000)</f>
        <v>26.0004</v>
      </c>
      <c r="AY10" s="235">
        <f>IF(AD10="  ",0+MID(AD$6,FIND("V",AD$6)+1,256)/10000,AD10+MID(AD$6,FIND("V",AD$6)+1,256)/10000)</f>
        <v>14.0005</v>
      </c>
      <c r="AZ10" s="235">
        <f>IF(AE10="  ",0+MID(AE$6,FIND("V",AE$6)+1,256)/10000,AE10+MID(AE$6,FIND("V",AE$6)+1,256)/10000)</f>
        <v>24.0006</v>
      </c>
      <c r="BA10" s="235">
        <f>IF(AF10="  ",0+MID(AF$6,FIND("V",AF$6)+1,256)/10000,AF10+MID(AF$6,FIND("V",AF$6)+1,256)/10000)</f>
        <v>14.0007</v>
      </c>
      <c r="BB10" s="235">
        <f>IF(AG10="  ",0+MID(AG$6,FIND("V",AG$6)+1,256)/10000,AG10+MID(AG$6,FIND("V",AG$6)+1,256)/10000)</f>
        <v>24.0008</v>
      </c>
      <c r="BC10" s="235">
        <f>IF(AH10="  ",0+MID(AH$6,FIND("V",AH$6)+1,256)/10000,AH10+MID(AH$6,FIND("V",AH$6)+1,256)/10000)</f>
        <v>0.0009</v>
      </c>
      <c r="BD10" s="235">
        <f>IF(AI10="  ",0+MID(AI$6,FIND("V",AI$6)+1,256)/10000,AI10+MID(AI$6,FIND("V",AI$6)+1,256)/10000)</f>
        <v>0.001</v>
      </c>
      <c r="BE10" s="233"/>
      <c r="BF10" s="233"/>
      <c r="BG10" s="233"/>
      <c r="BH10" s="233"/>
      <c r="BI10" s="3">
        <f>(LARGE(Z$7:Z$126,1)-Z10)/2+1</f>
        <v>1</v>
      </c>
      <c r="BJ10" s="3">
        <f>(LARGE(AA$7:AA$126,1)-AA10)/2+1</f>
        <v>10</v>
      </c>
      <c r="BK10" s="3">
        <f>(LARGE(AB$7:AB$126,1)-AB10)/2+1</f>
        <v>5</v>
      </c>
      <c r="BL10" s="3">
        <f>(LARGE(AC$7:AC$126,1)-AC10)/2+1</f>
        <v>2</v>
      </c>
      <c r="BM10" s="3">
        <f>(LARGE(AD$7:AD$126,1)-AD10)/2+1</f>
        <v>14</v>
      </c>
      <c r="BN10" s="3">
        <f>(LARGE(AE$7:AE$126,1)-AE10)/2+1</f>
        <v>3</v>
      </c>
      <c r="BO10" s="3">
        <f>(LARGE(AF$7:AF$126,1)-AF10)/2+1</f>
        <v>8</v>
      </c>
      <c r="BP10" s="3">
        <f>(LARGE(AG$7:AG$126,1)-AG10)/2+1</f>
        <v>2</v>
      </c>
      <c r="BQ10" s="3" t="e">
        <f>(LARGE(AH$7:AH$126,1)-AH10)/2+1</f>
        <v>#NUM!</v>
      </c>
      <c r="BR10" s="3" t="e">
        <f>(LARGE(AI$7:AI$126,1)-AI10)/2+1</f>
        <v>#NUM!</v>
      </c>
    </row>
    <row r="11" spans="1:70">
      <c r="A11" s="139" t="str">
        <f>IF(R11&gt;0,IF(Q11="Viru SK",RANK(B11,B$7:B$126,1)-COUNTIF((Q$7:Q$126),"&lt;&gt;Viru SK"),""),"")</f>
        <v/>
      </c>
      <c r="B11" s="140">
        <f>IF((Q11="Viru SK"),U11,U11-1000)</f>
        <v>-994</v>
      </c>
      <c r="C11" s="141">
        <f>IF(R11&gt;0,IF(P11="t",RANK(D11,D$7:D$126,1)-COUNTBLANK(P$7:P$126),""),"")</f>
        <v>2</v>
      </c>
      <c r="D11" s="142">
        <f>IF((P11="t"),U11,U11-1000)</f>
        <v>6</v>
      </c>
      <c r="E11" s="143">
        <f>IF(R11&gt;0,IF(N11="m",RANK(F11,F$7:F$126,1)-COUNTBLANK(N$7:N$126),""),"")</f>
        <v>6</v>
      </c>
      <c r="F11" s="144">
        <f>IF((N11="m"),U11,U11-1000)</f>
        <v>6</v>
      </c>
      <c r="G11" s="145" t="str">
        <f>IF(R11&gt;0,IF(M11="n",RANK(H11,H$7:H$126,1)-COUNTBLANK(M$7:M$126),""),"")</f>
        <v/>
      </c>
      <c r="H11" s="144">
        <f>IF((M11="n"),U11,U11-1000)</f>
        <v>-994</v>
      </c>
      <c r="I11" s="160" t="str">
        <f>IF(R11&gt;0,IF(O11="j",RANK(J11,J$7:J$126,1)-COUNTBLANK(O$7:O$126),""),"")</f>
        <v/>
      </c>
      <c r="J11" s="161">
        <f>IF((O11="j"),U11,U11-1000)</f>
        <v>-994</v>
      </c>
      <c r="K11" s="162">
        <f>IF(R11&gt;0,RANK(U11,U$7:U$126,1),"")</f>
        <v>5</v>
      </c>
      <c r="L11" s="163" t="s">
        <v>199</v>
      </c>
      <c r="M11" s="164"/>
      <c r="N11" s="165" t="str">
        <f>IF(M11="","m","")</f>
        <v>m</v>
      </c>
      <c r="O11" s="166"/>
      <c r="P11" s="167" t="s">
        <v>196</v>
      </c>
      <c r="Q11" s="192" t="s">
        <v>200</v>
      </c>
      <c r="R11" s="154">
        <f>(IF(COUNT(Z11,AA11,AB11,AC11,AD11,AE11,AF11,AG11,AH11,AI11)&lt;10,SUM(Z11,AA11,AB11,AC11,AD11,AE11,AF11,AG11,AH11,AI11),SUM(LARGE((Z11,AA11,AB11,AC11,AD11,AE11,AF11,AG11,AH11,AI11),{1;2;3;4;5;6;7;8;9}))))</f>
        <v>146</v>
      </c>
      <c r="S11" s="193" t="str">
        <f>INDEX(ETAPP!B$1:B$32,MATCH(COUNTIF(BI11:BR11,1),ETAPP!A$1:A$32,0))&amp;INDEX(ETAPP!B$1:B$32,MATCH(COUNTIF(BI11:BR11,2),ETAPP!A$1:A$32,0))&amp;INDEX(ETAPP!B$1:B$32,MATCH(COUNTIF(BI11:BR11,3),ETAPP!A$1:A$32,0))&amp;INDEX(ETAPP!B$1:B$32,MATCH(COUNTIF(BI11:BR11,4),ETAPP!A$1:A$32,0))&amp;INDEX(ETAPP!B$1:B$32,MATCH(COUNTIF(BI11:BR11,5),ETAPP!A$1:A$32,0))&amp;INDEX(ETAPP!B$1:B$32,MATCH(COUNTIF(BI11:BR11,6),ETAPP!A$1:A$32,0))&amp;INDEX(ETAPP!B$1:B$32,MATCH(COUNTIF(BI11:BR11,7),ETAPP!A$1:A$32,0))&amp;INDEX(ETAPP!B$1:B$32,MATCH(COUNTIF(BI11:BR11,8),ETAPP!A$1:A$32,0))&amp;INDEX(ETAPP!B$1:B$32,MATCH(COUNTIF(BI11:BR11,9),ETAPP!A$1:A$32,0))&amp;INDEX(ETAPP!B$1:B$32,MATCH(COUNTIF(BI11:BR11,10),ETAPP!A$1:A$32,0))&amp;INDEX(ETAPP!B$1:B$32,MATCH(COUNTIF(BI11:BR11,11),ETAPP!A$1:A$32,0))&amp;INDEX(ETAPP!B$1:B$32,MATCH(COUNTIF(BI11:BR11,12),ETAPP!A$1:A$32,0))&amp;INDEX(ETAPP!B$1:B$32,MATCH(COUNTIF(BI11:BR11,13),ETAPP!A$1:A$32,0))&amp;INDEX(ETAPP!B$1:B$32,MATCH(COUNTIF(BI11:BR11,14),ETAPP!A$1:A$32,0))&amp;INDEX(ETAPP!B$1:B$32,MATCH(COUNTIF(BI11:BR11,15),ETAPP!A$1:A$32,0))&amp;INDEX(ETAPP!B$1:B$32,MATCH(COUNTIF(BI11:BR11,16),ETAPP!A$1:A$32,0))&amp;INDEX(ETAPP!B$1:B$32,MATCH(COUNTIF(BI11:BR11,17),ETAPP!A$1:A$32,0))&amp;INDEX(ETAPP!B$1:B$32,MATCH(COUNTIF(BI11:BR11,18),ETAPP!A$1:A$32,0))&amp;INDEX(ETAPP!B$1:B$32,MATCH(COUNTIF(BI11:BR11,19),ETAPP!A$1:A$32,0))&amp;INDEX(ETAPP!B$1:B$32,MATCH(COUNTIF(BI11:BR11,20),ETAPP!A$1:A$32,0))&amp;INDEX(ETAPP!B$1:B$32,MATCH(COUNTIF(BI11:BR11,21),ETAPP!A$1:A$32,0))</f>
        <v>0BAB0000AA0A000000000</v>
      </c>
      <c r="T11" s="193" t="str">
        <f>TEXT(R11,"000,0")&amp;"-"&amp;S11</f>
        <v>146,0-0BAB0000AA0A000000000</v>
      </c>
      <c r="U11" s="193">
        <f>COUNTIF(T$7:T$126,"&gt;="&amp;T11)</f>
        <v>6</v>
      </c>
      <c r="V11" s="193">
        <f>COUNTIF(L$7:L$126,"&gt;="&amp;L11)</f>
        <v>51</v>
      </c>
      <c r="W11" s="193" t="str">
        <f>TEXT(R11,"000,0")&amp;"-"&amp;S11&amp;"-"&amp;TEXT(V11,"000")</f>
        <v>146,0-0BAB0000AA0A000000000-051</v>
      </c>
      <c r="X11" s="193">
        <f>COUNTIF(W$7:W$126,"&gt;="&amp;W11)</f>
        <v>5</v>
      </c>
      <c r="Y11" s="201">
        <f>RANK(X11,X$7:X$126,0)</f>
        <v>116</v>
      </c>
      <c r="Z11" s="202">
        <f>IFERROR(INDEX('V1'!C$300:C$400,MATCH("*"&amp;L11&amp;"*",'V1'!B$300:B$400,0)),"  ")</f>
        <v>14</v>
      </c>
      <c r="AA11" s="202">
        <f>IFERROR(INDEX('V2'!C$300:C$400,MATCH("*"&amp;L11&amp;"*",'V2'!B$300:B$400,0)),"  ")</f>
        <v>26</v>
      </c>
      <c r="AB11" s="202">
        <f>IFERROR(INDEX('V3'!C$300:C$400,MATCH("*"&amp;L11&amp;"*",'V3'!B$300:B$400,0)),"  ")</f>
        <v>20</v>
      </c>
      <c r="AC11" s="202">
        <f>IFERROR(INDEX('V4'!C$300:C$400,MATCH("*"&amp;L11&amp;"*",'V4'!B$300:B$400,0)),"  ")</f>
        <v>12</v>
      </c>
      <c r="AD11" s="202">
        <f>IFERROR(INDEX('V5'!C$300:C$400,MATCH("*"&amp;L11&amp;"*",'V5'!B$300:B$400,0)),"  ")</f>
        <v>22</v>
      </c>
      <c r="AE11" s="202">
        <f>IFERROR(INDEX('V6'!C$300:C$400,MATCH("*"&amp;L11&amp;"*",'V6'!B$300:B$400,0)),"  ")</f>
        <v>22</v>
      </c>
      <c r="AF11" s="202">
        <f>IFERROR(INDEX('V7'!C$300:C$400,MATCH("*"&amp;L11&amp;"*",'V7'!B$300:B$400,0)),"  ")</f>
        <v>26</v>
      </c>
      <c r="AG11" s="202">
        <f>IFERROR(INDEX('V8'!C$300:C$400,MATCH("*"&amp;L11&amp;"*",'V8'!B$300:B$400,0)),"  ")</f>
        <v>4</v>
      </c>
      <c r="AH11" s="202"/>
      <c r="AI11" s="202"/>
      <c r="AJ11" s="222">
        <f>IF(AN11&gt;(AT$2-1),K11,"")</f>
        <v>5</v>
      </c>
      <c r="AK11" s="223">
        <f>SUM(Z11:AI11)</f>
        <v>146</v>
      </c>
      <c r="AL11" s="224" t="str">
        <f>IFERROR("edasi "&amp;RANK(AJ11,AJ$7:AJ$126,1),K11)</f>
        <v>edasi 5</v>
      </c>
      <c r="AM11" s="225" t="str">
        <f>IFERROR(INDEX(#REF!,MATCH("*"&amp;L11&amp;"*",#REF!,0)),"  ")</f>
        <v>  </v>
      </c>
      <c r="AN11" s="226">
        <f>COUNTIF(Z11:AI11,"&gt;=0")</f>
        <v>8</v>
      </c>
      <c r="AO11" s="126">
        <f>IFERROR(IF(Z11+1&gt;LARGE(Z$7:Z$126,1)-2*LEN(Z$5),1),0)+IFERROR(IF(AA11+1&gt;LARGE(AA$7:AA$126,1)-2*LEN(AA$5),1),0)+IFERROR(IF(AB11+1&gt;LARGE(AB$7:AB$126,1)-2*LEN(AB$5),1),0)+IFERROR(IF(AC11+1&gt;LARGE(AC$7:AC$126,1)-2*LEN(AC$5),1),0)+IFERROR(IF(AD11+1&gt;LARGE(AD$7:AD$126,1)-2*LEN(AD$5),1),0)+IFERROR(IF(AE11+1&gt;LARGE(AE$7:AE$126,1)-2*LEN(AE$5),1),0)+IFERROR(IF(AF11+1&gt;LARGE(AF$7:AF$126,1)-2*LEN(AF$5),1),0)+IFERROR(IF(AG11+1&gt;LARGE(AG$7:AG$126,1)-2*LEN(AG$5),1),0)+IFERROR(IF(AH11+1&gt;LARGE(AH$7:AH$126,1)-2*LEN(AH$5),1),0)+IFERROR(IF(AI11+1&gt;LARGE(AI$7:AI$126,1)-2*LEN(AI$5),1),0)</f>
        <v>3</v>
      </c>
      <c r="AP11" s="126">
        <f>IF(Z11=0,0,IF(Z11=IFERROR(LARGE(Z$7:Z$126,1),0),1,0))+IF(AA11=0,0,IF(AA11=IFERROR(LARGE(AA$7:AA$126,1),0),1,0))+IF(AB11=0,0,IF(AB11=IFERROR(LARGE(AB$7:AB$126,1),0),1,0))+IF(AC11=0,0,IF(AC11=IFERROR(LARGE(AC$7:AC$126,1),0),1,0))+IF(AD11=0,0,IF(AD11=IFERROR(LARGE(AD$7:AD$126,1),0),1,0))+IF(AE11=0,0,IF(AE11=IFERROR(LARGE(AE$7:AE$126,1),0),1,0))+IF(AF11=0,0,IF(AF11=IFERROR(LARGE(AF$7:AF$126,1),0),1,0))+IF(AG11=0,0,IF(AG11=IFERROR(LARGE(AG$7:AG$126,1),0),1,0))+IF(AH11=0,0,IF(AH11=IFERROR(LARGE(AH$7:AH$126,1),0),1,0))+IF(AI11=0,0,IF(AI11=IFERROR(LARGE(AI$7:AI$126,1),0),1,0))</f>
        <v>0</v>
      </c>
      <c r="AQ11" s="233"/>
      <c r="AR11" s="233"/>
      <c r="AS11" s="233"/>
      <c r="AT11" s="234">
        <f>SMALL(AU11:BD11,AT$3)</f>
        <v>0.0009</v>
      </c>
      <c r="AU11" s="235">
        <f>IF(Z11="  ",0+MID(Z$6,FIND("V",Z$6)+1,256)/10000,Z11+MID(Z$6,FIND("V",Z$6)+1,256)/10000)</f>
        <v>14.0001</v>
      </c>
      <c r="AV11" s="235">
        <f>IF(AA11="  ",0+MID(AA$6,FIND("V",AA$6)+1,256)/10000,AA11+MID(AA$6,FIND("V",AA$6)+1,256)/10000)</f>
        <v>26.0002</v>
      </c>
      <c r="AW11" s="235">
        <f>IF(AB11="  ",0+MID(AB$6,FIND("V",AB$6)+1,256)/10000,AB11+MID(AB$6,FIND("V",AB$6)+1,256)/10000)</f>
        <v>20.0003</v>
      </c>
      <c r="AX11" s="235">
        <f>IF(AC11="  ",0+MID(AC$6,FIND("V",AC$6)+1,256)/10000,AC11+MID(AC$6,FIND("V",AC$6)+1,256)/10000)</f>
        <v>12.0004</v>
      </c>
      <c r="AY11" s="235">
        <f>IF(AD11="  ",0+MID(AD$6,FIND("V",AD$6)+1,256)/10000,AD11+MID(AD$6,FIND("V",AD$6)+1,256)/10000)</f>
        <v>22.0005</v>
      </c>
      <c r="AZ11" s="235">
        <f>IF(AE11="  ",0+MID(AE$6,FIND("V",AE$6)+1,256)/10000,AE11+MID(AE$6,FIND("V",AE$6)+1,256)/10000)</f>
        <v>22.0006</v>
      </c>
      <c r="BA11" s="235">
        <f>IF(AF11="  ",0+MID(AF$6,FIND("V",AF$6)+1,256)/10000,AF11+MID(AF$6,FIND("V",AF$6)+1,256)/10000)</f>
        <v>26.0007</v>
      </c>
      <c r="BB11" s="235">
        <f>IF(AG11="  ",0+MID(AG$6,FIND("V",AG$6)+1,256)/10000,AG11+MID(AG$6,FIND("V",AG$6)+1,256)/10000)</f>
        <v>4.0008</v>
      </c>
      <c r="BC11" s="235">
        <f>IF(AH11="  ",0+MID(AH$6,FIND("V",AH$6)+1,256)/10000,AH11+MID(AH$6,FIND("V",AH$6)+1,256)/10000)</f>
        <v>0.0009</v>
      </c>
      <c r="BD11" s="235">
        <f>IF(AI11="  ",0+MID(AI$6,FIND("V",AI$6)+1,256)/10000,AI11+MID(AI$6,FIND("V",AI$6)+1,256)/10000)</f>
        <v>0.001</v>
      </c>
      <c r="BE11" s="233"/>
      <c r="BF11" s="233"/>
      <c r="BG11" s="233"/>
      <c r="BH11" s="233"/>
      <c r="BI11" s="3">
        <f>(LARGE(Z$7:Z$126,1)-Z11)/2+1</f>
        <v>3</v>
      </c>
      <c r="BJ11" s="3">
        <f>(LARGE(AA$7:AA$126,1)-AA11)/2+1</f>
        <v>2</v>
      </c>
      <c r="BK11" s="3">
        <f>(LARGE(AB$7:AB$126,1)-AB11)/2+1</f>
        <v>4</v>
      </c>
      <c r="BL11" s="3">
        <f>(LARGE(AC$7:AC$126,1)-AC11)/2+1</f>
        <v>9</v>
      </c>
      <c r="BM11" s="3">
        <f>(LARGE(AD$7:AD$126,1)-AD11)/2+1</f>
        <v>10</v>
      </c>
      <c r="BN11" s="3">
        <f>(LARGE(AE$7:AE$126,1)-AE11)/2+1</f>
        <v>4</v>
      </c>
      <c r="BO11" s="3">
        <f>(LARGE(AF$7:AF$126,1)-AF11)/2+1</f>
        <v>2</v>
      </c>
      <c r="BP11" s="3">
        <f>(LARGE(AG$7:AG$126,1)-AG11)/2+1</f>
        <v>12</v>
      </c>
      <c r="BQ11" s="3" t="e">
        <f>(LARGE(AH$7:AH$126,1)-AH11)/2+1</f>
        <v>#NUM!</v>
      </c>
      <c r="BR11" s="3" t="e">
        <f>(LARGE(AI$7:AI$126,1)-AI11)/2+1</f>
        <v>#NUM!</v>
      </c>
    </row>
    <row r="12" spans="1:70">
      <c r="A12" s="139">
        <f>IF(R12&gt;0,IF(Q12="Viru SK",RANK(B12,B$7:B$126,1)-COUNTIF((Q$7:Q$126),"&lt;&gt;Viru SK"),""),"")</f>
        <v>4</v>
      </c>
      <c r="B12" s="140">
        <f>IF((Q12="Viru SK"),U12,U12-1000)</f>
        <v>6</v>
      </c>
      <c r="C12" s="141" t="str">
        <f>IF(R12&gt;0,IF(P12="t",RANK(D12,D$7:D$126,1)-COUNTBLANK(P$7:P$126),""),"")</f>
        <v/>
      </c>
      <c r="D12" s="142">
        <f>IF((P12="t"),U12,U12-1000)</f>
        <v>-994</v>
      </c>
      <c r="E12" s="143">
        <f>IF(R12&gt;0,IF(N12="m",RANK(F12,F$7:F$126,1)-COUNTBLANK(N$7:N$126),""),"")</f>
        <v>6</v>
      </c>
      <c r="F12" s="144">
        <f>IF((N12="m"),U12,U12-1000)</f>
        <v>6</v>
      </c>
      <c r="G12" s="145" t="str">
        <f>IF(R12&gt;0,IF(M12="n",RANK(H12,H$7:H$126,1)-COUNTBLANK(M$7:M$126),""),"")</f>
        <v/>
      </c>
      <c r="H12" s="144">
        <f>IF((M12="n"),U12,U12-1000)</f>
        <v>-994</v>
      </c>
      <c r="I12" s="160" t="str">
        <f>IF(R12&gt;0,IF(O12="j",RANK(J12,J$7:J$126,1)-COUNTBLANK(O$7:O$126),""),"")</f>
        <v/>
      </c>
      <c r="J12" s="161">
        <f>IF((O12="j"),U12,U12-1000)</f>
        <v>-994</v>
      </c>
      <c r="K12" s="162">
        <f>IF(R12&gt;0,RANK(U12,U$7:U$126,1),"")</f>
        <v>5</v>
      </c>
      <c r="L12" s="163" t="s">
        <v>201</v>
      </c>
      <c r="M12" s="164"/>
      <c r="N12" s="165" t="s">
        <v>193</v>
      </c>
      <c r="O12" s="166"/>
      <c r="P12" s="167"/>
      <c r="Q12" s="192" t="s">
        <v>171</v>
      </c>
      <c r="R12" s="154">
        <f>(IF(COUNT(Z12,AA12,AB12,AC12,AD12,AE12,AF12,AG12,AH12,AI12)&lt;10,SUM(Z12,AA12,AB12,AC12,AD12,AE12,AF12,AG12,AH12,AI12),SUM(LARGE((Z12,AA12,AB12,AC12,AD12,AE12,AF12,AG12,AH12,AI12),{1;2;3;4;5;6;7;8;9}))))</f>
        <v>146</v>
      </c>
      <c r="S12" s="193" t="str">
        <f>INDEX(ETAPP!B$1:B$32,MATCH(COUNTIF(BI12:BR12,1),ETAPP!A$1:A$32,0))&amp;INDEX(ETAPP!B$1:B$32,MATCH(COUNTIF(BI12:BR12,2),ETAPP!A$1:A$32,0))&amp;INDEX(ETAPP!B$1:B$32,MATCH(COUNTIF(BI12:BR12,3),ETAPP!A$1:A$32,0))&amp;INDEX(ETAPP!B$1:B$32,MATCH(COUNTIF(BI12:BR12,4),ETAPP!A$1:A$32,0))&amp;INDEX(ETAPP!B$1:B$32,MATCH(COUNTIF(BI12:BR12,5),ETAPP!A$1:A$32,0))&amp;INDEX(ETAPP!B$1:B$32,MATCH(COUNTIF(BI12:BR12,6),ETAPP!A$1:A$32,0))&amp;INDEX(ETAPP!B$1:B$32,MATCH(COUNTIF(BI12:BR12,7),ETAPP!A$1:A$32,0))&amp;INDEX(ETAPP!B$1:B$32,MATCH(COUNTIF(BI12:BR12,8),ETAPP!A$1:A$32,0))&amp;INDEX(ETAPP!B$1:B$32,MATCH(COUNTIF(BI12:BR12,9),ETAPP!A$1:A$32,0))&amp;INDEX(ETAPP!B$1:B$32,MATCH(COUNTIF(BI12:BR12,10),ETAPP!A$1:A$32,0))&amp;INDEX(ETAPP!B$1:B$32,MATCH(COUNTIF(BI12:BR12,11),ETAPP!A$1:A$32,0))&amp;INDEX(ETAPP!B$1:B$32,MATCH(COUNTIF(BI12:BR12,12),ETAPP!A$1:A$32,0))&amp;INDEX(ETAPP!B$1:B$32,MATCH(COUNTIF(BI12:BR12,13),ETAPP!A$1:A$32,0))&amp;INDEX(ETAPP!B$1:B$32,MATCH(COUNTIF(BI12:BR12,14),ETAPP!A$1:A$32,0))&amp;INDEX(ETAPP!B$1:B$32,MATCH(COUNTIF(BI12:BR12,15),ETAPP!A$1:A$32,0))&amp;INDEX(ETAPP!B$1:B$32,MATCH(COUNTIF(BI12:BR12,16),ETAPP!A$1:A$32,0))&amp;INDEX(ETAPP!B$1:B$32,MATCH(COUNTIF(BI12:BR12,17),ETAPP!A$1:A$32,0))&amp;INDEX(ETAPP!B$1:B$32,MATCH(COUNTIF(BI12:BR12,18),ETAPP!A$1:A$32,0))&amp;INDEX(ETAPP!B$1:B$32,MATCH(COUNTIF(BI12:BR12,19),ETAPP!A$1:A$32,0))&amp;INDEX(ETAPP!B$1:B$32,MATCH(COUNTIF(BI12:BR12,20),ETAPP!A$1:A$32,0))&amp;INDEX(ETAPP!B$1:B$32,MATCH(COUNTIF(BI12:BR12,21),ETAPP!A$1:A$32,0))</f>
        <v>0BAB0000AA0A000000000</v>
      </c>
      <c r="T12" s="193" t="str">
        <f>TEXT(R12,"000,0")&amp;"-"&amp;S12</f>
        <v>146,0-0BAB0000AA0A000000000</v>
      </c>
      <c r="U12" s="193">
        <f>COUNTIF(T$7:T$126,"&gt;="&amp;T12)</f>
        <v>6</v>
      </c>
      <c r="V12" s="193">
        <f>COUNTIF(L$7:L$126,"&gt;="&amp;L12)</f>
        <v>30</v>
      </c>
      <c r="W12" s="193" t="str">
        <f>TEXT(R12,"000,0")&amp;"-"&amp;S12&amp;"-"&amp;TEXT(V12,"000")</f>
        <v>146,0-0BAB0000AA0A000000000-030</v>
      </c>
      <c r="X12" s="193">
        <f>COUNTIF(W$7:W$126,"&gt;="&amp;W12)</f>
        <v>6</v>
      </c>
      <c r="Y12" s="201">
        <f>RANK(X12,X$7:X$126,0)</f>
        <v>115</v>
      </c>
      <c r="Z12" s="202">
        <f>IFERROR(INDEX('V1'!C$300:C$400,MATCH("*"&amp;L12&amp;"*",'V1'!B$300:B$400,0)),"  ")</f>
        <v>14</v>
      </c>
      <c r="AA12" s="202">
        <f>IFERROR(INDEX('V2'!C$300:C$400,MATCH("*"&amp;L12&amp;"*",'V2'!B$300:B$400,0)),"  ")</f>
        <v>26</v>
      </c>
      <c r="AB12" s="202">
        <f>IFERROR(INDEX('V3'!C$300:C$400,MATCH("*"&amp;L12&amp;"*",'V3'!B$300:B$400,0)),"  ")</f>
        <v>20</v>
      </c>
      <c r="AC12" s="202">
        <f>IFERROR(INDEX('V4'!C$300:C$400,MATCH("*"&amp;L12&amp;"*",'V4'!B$300:B$400,0)),"  ")</f>
        <v>12</v>
      </c>
      <c r="AD12" s="202">
        <f>IFERROR(INDEX('V5'!C$300:C$400,MATCH("*"&amp;L12&amp;"*",'V5'!B$300:B$400,0)),"  ")</f>
        <v>22</v>
      </c>
      <c r="AE12" s="202">
        <f>IFERROR(INDEX('V6'!C$300:C$400,MATCH("*"&amp;L12&amp;"*",'V6'!B$300:B$400,0)),"  ")</f>
        <v>22</v>
      </c>
      <c r="AF12" s="202">
        <f>IFERROR(INDEX('V7'!C$300:C$400,MATCH("*"&amp;L12&amp;"*",'V7'!B$300:B$400,0)),"  ")</f>
        <v>26</v>
      </c>
      <c r="AG12" s="202">
        <f>IFERROR(INDEX('V8'!C$300:C$400,MATCH("*"&amp;L12&amp;"*",'V8'!B$300:B$400,0)),"  ")</f>
        <v>4</v>
      </c>
      <c r="AH12" s="202"/>
      <c r="AI12" s="202"/>
      <c r="AJ12" s="222">
        <f>IF(AN12&gt;(AT$2-1),K12,"")</f>
        <v>5</v>
      </c>
      <c r="AK12" s="223">
        <f>SUM(Z12:AI12)</f>
        <v>146</v>
      </c>
      <c r="AL12" s="224" t="str">
        <f>IFERROR("edasi "&amp;RANK(AJ12,AJ$7:AJ$126,1),K12)</f>
        <v>edasi 5</v>
      </c>
      <c r="AM12" s="225" t="str">
        <f>IFERROR(INDEX(#REF!,MATCH("*"&amp;L12&amp;"*",#REF!,0)),"  ")</f>
        <v>  </v>
      </c>
      <c r="AN12" s="226">
        <f>COUNTIF(Z12:AI12,"&gt;=0")</f>
        <v>8</v>
      </c>
      <c r="AO12" s="126">
        <f>IFERROR(IF(Z12+1&gt;LARGE(Z$7:Z$126,1)-2*LEN(Z$5),1),0)+IFERROR(IF(AA12+1&gt;LARGE(AA$7:AA$126,1)-2*LEN(AA$5),1),0)+IFERROR(IF(AB12+1&gt;LARGE(AB$7:AB$126,1)-2*LEN(AB$5),1),0)+IFERROR(IF(AC12+1&gt;LARGE(AC$7:AC$126,1)-2*LEN(AC$5),1),0)+IFERROR(IF(AD12+1&gt;LARGE(AD$7:AD$126,1)-2*LEN(AD$5),1),0)+IFERROR(IF(AE12+1&gt;LARGE(AE$7:AE$126,1)-2*LEN(AE$5),1),0)+IFERROR(IF(AF12+1&gt;LARGE(AF$7:AF$126,1)-2*LEN(AF$5),1),0)+IFERROR(IF(AG12+1&gt;LARGE(AG$7:AG$126,1)-2*LEN(AG$5),1),0)+IFERROR(IF(AH12+1&gt;LARGE(AH$7:AH$126,1)-2*LEN(AH$5),1),0)+IFERROR(IF(AI12+1&gt;LARGE(AI$7:AI$126,1)-2*LEN(AI$5),1),0)</f>
        <v>3</v>
      </c>
      <c r="AP12" s="126">
        <f>IF(Z12=0,0,IF(Z12=IFERROR(LARGE(Z$7:Z$126,1),0),1,0))+IF(AA12=0,0,IF(AA12=IFERROR(LARGE(AA$7:AA$126,1),0),1,0))+IF(AB12=0,0,IF(AB12=IFERROR(LARGE(AB$7:AB$126,1),0),1,0))+IF(AC12=0,0,IF(AC12=IFERROR(LARGE(AC$7:AC$126,1),0),1,0))+IF(AD12=0,0,IF(AD12=IFERROR(LARGE(AD$7:AD$126,1),0),1,0))+IF(AE12=0,0,IF(AE12=IFERROR(LARGE(AE$7:AE$126,1),0),1,0))+IF(AF12=0,0,IF(AF12=IFERROR(LARGE(AF$7:AF$126,1),0),1,0))+IF(AG12=0,0,IF(AG12=IFERROR(LARGE(AG$7:AG$126,1),0),1,0))+IF(AH12=0,0,IF(AH12=IFERROR(LARGE(AH$7:AH$126,1),0),1,0))+IF(AI12=0,0,IF(AI12=IFERROR(LARGE(AI$7:AI$126,1),0),1,0))</f>
        <v>0</v>
      </c>
      <c r="AQ12" s="233"/>
      <c r="AR12" s="233"/>
      <c r="AS12" s="233"/>
      <c r="AT12" s="234">
        <f>SMALL(AU12:BD12,AT$3)</f>
        <v>0.0009</v>
      </c>
      <c r="AU12" s="235">
        <f>IF(Z12="  ",0+MID(Z$6,FIND("V",Z$6)+1,256)/10000,Z12+MID(Z$6,FIND("V",Z$6)+1,256)/10000)</f>
        <v>14.0001</v>
      </c>
      <c r="AV12" s="235">
        <f>IF(AA12="  ",0+MID(AA$6,FIND("V",AA$6)+1,256)/10000,AA12+MID(AA$6,FIND("V",AA$6)+1,256)/10000)</f>
        <v>26.0002</v>
      </c>
      <c r="AW12" s="235">
        <f>IF(AB12="  ",0+MID(AB$6,FIND("V",AB$6)+1,256)/10000,AB12+MID(AB$6,FIND("V",AB$6)+1,256)/10000)</f>
        <v>20.0003</v>
      </c>
      <c r="AX12" s="235">
        <f>IF(AC12="  ",0+MID(AC$6,FIND("V",AC$6)+1,256)/10000,AC12+MID(AC$6,FIND("V",AC$6)+1,256)/10000)</f>
        <v>12.0004</v>
      </c>
      <c r="AY12" s="235">
        <f>IF(AD12="  ",0+MID(AD$6,FIND("V",AD$6)+1,256)/10000,AD12+MID(AD$6,FIND("V",AD$6)+1,256)/10000)</f>
        <v>22.0005</v>
      </c>
      <c r="AZ12" s="235">
        <f>IF(AE12="  ",0+MID(AE$6,FIND("V",AE$6)+1,256)/10000,AE12+MID(AE$6,FIND("V",AE$6)+1,256)/10000)</f>
        <v>22.0006</v>
      </c>
      <c r="BA12" s="235">
        <f>IF(AF12="  ",0+MID(AF$6,FIND("V",AF$6)+1,256)/10000,AF12+MID(AF$6,FIND("V",AF$6)+1,256)/10000)</f>
        <v>26.0007</v>
      </c>
      <c r="BB12" s="235">
        <f>IF(AG12="  ",0+MID(AG$6,FIND("V",AG$6)+1,256)/10000,AG12+MID(AG$6,FIND("V",AG$6)+1,256)/10000)</f>
        <v>4.0008</v>
      </c>
      <c r="BC12" s="235">
        <f>IF(AH12="  ",0+MID(AH$6,FIND("V",AH$6)+1,256)/10000,AH12+MID(AH$6,FIND("V",AH$6)+1,256)/10000)</f>
        <v>0.0009</v>
      </c>
      <c r="BD12" s="235">
        <f>IF(AI12="  ",0+MID(AI$6,FIND("V",AI$6)+1,256)/10000,AI12+MID(AI$6,FIND("V",AI$6)+1,256)/10000)</f>
        <v>0.001</v>
      </c>
      <c r="BE12" s="233"/>
      <c r="BF12" s="233"/>
      <c r="BG12" s="233"/>
      <c r="BH12" s="233"/>
      <c r="BI12" s="3">
        <f>(LARGE(Z$7:Z$126,1)-Z12)/2+1</f>
        <v>3</v>
      </c>
      <c r="BJ12" s="3">
        <f>(LARGE(AA$7:AA$126,1)-AA12)/2+1</f>
        <v>2</v>
      </c>
      <c r="BK12" s="3">
        <f>(LARGE(AB$7:AB$126,1)-AB12)/2+1</f>
        <v>4</v>
      </c>
      <c r="BL12" s="3">
        <f>(LARGE(AC$7:AC$126,1)-AC12)/2+1</f>
        <v>9</v>
      </c>
      <c r="BM12" s="3">
        <f>(LARGE(AD$7:AD$126,1)-AD12)/2+1</f>
        <v>10</v>
      </c>
      <c r="BN12" s="3">
        <f>(LARGE(AE$7:AE$126,1)-AE12)/2+1</f>
        <v>4</v>
      </c>
      <c r="BO12" s="3">
        <f>(LARGE(AF$7:AF$126,1)-AF12)/2+1</f>
        <v>2</v>
      </c>
      <c r="BP12" s="3">
        <f>(LARGE(AG$7:AG$126,1)-AG12)/2+1</f>
        <v>12</v>
      </c>
      <c r="BQ12" s="3" t="e">
        <f>(LARGE(AH$7:AH$126,1)-AH12)/2+1</f>
        <v>#NUM!</v>
      </c>
      <c r="BR12" s="3" t="e">
        <f>(LARGE(AI$7:AI$126,1)-AI12)/2+1</f>
        <v>#NUM!</v>
      </c>
    </row>
    <row r="13" spans="1:70">
      <c r="A13" s="139">
        <f>IF(R13&gt;0,IF(Q13="Viru SK",RANK(B13,B$7:B$126,1)-COUNTIF((Q$7:Q$126),"&lt;&gt;Viru SK"),""),"")</f>
        <v>5</v>
      </c>
      <c r="B13" s="140">
        <f>IF((Q13="Viru SK"),U13,U13-1000)</f>
        <v>7</v>
      </c>
      <c r="C13" s="141" t="str">
        <f>IF(R13&gt;0,IF(P13="t",RANK(D13,D$7:D$126,1)-COUNTBLANK(P$7:P$126),""),"")</f>
        <v/>
      </c>
      <c r="D13" s="142">
        <f>IF((P13="t"),U13,U13-1000)</f>
        <v>-993</v>
      </c>
      <c r="E13" s="143" t="str">
        <f>IF(R13&gt;0,IF(N13="m",RANK(F13,F$7:F$126,1)-COUNTBLANK(N$7:N$126),""),"")</f>
        <v/>
      </c>
      <c r="F13" s="144">
        <f>IF((N13="m"),U13,U13-1000)</f>
        <v>-993</v>
      </c>
      <c r="G13" s="145">
        <f>IF(R13&gt;0,IF(M13="n",RANK(H13,H$7:H$126,1)-COUNTBLANK(M$7:M$126),""),"")</f>
        <v>1</v>
      </c>
      <c r="H13" s="144">
        <f>IF((M13="n"),U13,U13-1000)</f>
        <v>7</v>
      </c>
      <c r="I13" s="160" t="str">
        <f>IF(R13&gt;0,IF(O13="j",RANK(J13,J$7:J$126,1)-COUNTBLANK(O$7:O$126),""),"")</f>
        <v/>
      </c>
      <c r="J13" s="161">
        <f>IF((O13="j"),U13,U13-1000)</f>
        <v>-993</v>
      </c>
      <c r="K13" s="162">
        <f>IF(R13&gt;0,RANK(U13,U$7:U$126,1),"")</f>
        <v>7</v>
      </c>
      <c r="L13" s="163" t="s">
        <v>202</v>
      </c>
      <c r="M13" s="164" t="s">
        <v>203</v>
      </c>
      <c r="N13" s="165" t="s">
        <v>203</v>
      </c>
      <c r="O13" s="166"/>
      <c r="P13" s="167"/>
      <c r="Q13" s="192" t="s">
        <v>171</v>
      </c>
      <c r="R13" s="154">
        <f>(IF(COUNT(Z13,AA13,AB13,AC13,AD13,AE13,AF13,AG13,AH13,AI13)&lt;10,SUM(Z13,AA13,AB13,AC13,AD13,AE13,AF13,AG13,AH13,AI13),SUM(LARGE((Z13,AA13,AB13,AC13,AD13,AE13,AF13,AG13,AH13,AI13),{1;2;3;4;5;6;7;8;9}))))</f>
        <v>146</v>
      </c>
      <c r="S13" s="193" t="str">
        <f>INDEX(ETAPP!B$1:B$32,MATCH(COUNTIF(BI13:BR13,1),ETAPP!A$1:A$32,0))&amp;INDEX(ETAPP!B$1:B$32,MATCH(COUNTIF(BI13:BR13,2),ETAPP!A$1:A$32,0))&amp;INDEX(ETAPP!B$1:B$32,MATCH(COUNTIF(BI13:BR13,3),ETAPP!A$1:A$32,0))&amp;INDEX(ETAPP!B$1:B$32,MATCH(COUNTIF(BI13:BR13,4),ETAPP!A$1:A$32,0))&amp;INDEX(ETAPP!B$1:B$32,MATCH(COUNTIF(BI13:BR13,5),ETAPP!A$1:A$32,0))&amp;INDEX(ETAPP!B$1:B$32,MATCH(COUNTIF(BI13:BR13,6),ETAPP!A$1:A$32,0))&amp;INDEX(ETAPP!B$1:B$32,MATCH(COUNTIF(BI13:BR13,7),ETAPP!A$1:A$32,0))&amp;INDEX(ETAPP!B$1:B$32,MATCH(COUNTIF(BI13:BR13,8),ETAPP!A$1:A$32,0))&amp;INDEX(ETAPP!B$1:B$32,MATCH(COUNTIF(BI13:BR13,9),ETAPP!A$1:A$32,0))&amp;INDEX(ETAPP!B$1:B$32,MATCH(COUNTIF(BI13:BR13,10),ETAPP!A$1:A$32,0))&amp;INDEX(ETAPP!B$1:B$32,MATCH(COUNTIF(BI13:BR13,11),ETAPP!A$1:A$32,0))&amp;INDEX(ETAPP!B$1:B$32,MATCH(COUNTIF(BI13:BR13,12),ETAPP!A$1:A$32,0))&amp;INDEX(ETAPP!B$1:B$32,MATCH(COUNTIF(BI13:BR13,13),ETAPP!A$1:A$32,0))&amp;INDEX(ETAPP!B$1:B$32,MATCH(COUNTIF(BI13:BR13,14),ETAPP!A$1:A$32,0))&amp;INDEX(ETAPP!B$1:B$32,MATCH(COUNTIF(BI13:BR13,15),ETAPP!A$1:A$32,0))&amp;INDEX(ETAPP!B$1:B$32,MATCH(COUNTIF(BI13:BR13,16),ETAPP!A$1:A$32,0))&amp;INDEX(ETAPP!B$1:B$32,MATCH(COUNTIF(BI13:BR13,17),ETAPP!A$1:A$32,0))&amp;INDEX(ETAPP!B$1:B$32,MATCH(COUNTIF(BI13:BR13,18),ETAPP!A$1:A$32,0))&amp;INDEX(ETAPP!B$1:B$32,MATCH(COUNTIF(BI13:BR13,19),ETAPP!A$1:A$32,0))&amp;INDEX(ETAPP!B$1:B$32,MATCH(COUNTIF(BI13:BR13,20),ETAPP!A$1:A$32,0))&amp;INDEX(ETAPP!B$1:B$32,MATCH(COUNTIF(BI13:BR13,21),ETAPP!A$1:A$32,0))</f>
        <v>0ABA0AB00000000000000</v>
      </c>
      <c r="T13" s="193" t="str">
        <f>TEXT(R13,"000,0")&amp;"-"&amp;S13</f>
        <v>146,0-0ABA0AB00000000000000</v>
      </c>
      <c r="U13" s="193">
        <f>COUNTIF(T$7:T$126,"&gt;="&amp;T13)</f>
        <v>7</v>
      </c>
      <c r="V13" s="193">
        <f>COUNTIF(L$7:L$126,"&gt;="&amp;L13)</f>
        <v>66</v>
      </c>
      <c r="W13" s="193" t="str">
        <f>TEXT(R13,"000,0")&amp;"-"&amp;S13&amp;"-"&amp;TEXT(V13,"000")</f>
        <v>146,0-0ABA0AB00000000000000-066</v>
      </c>
      <c r="X13" s="193">
        <f>COUNTIF(W$7:W$126,"&gt;="&amp;W13)</f>
        <v>7</v>
      </c>
      <c r="Y13" s="201">
        <f>RANK(X13,X$7:X$126,0)</f>
        <v>114</v>
      </c>
      <c r="Z13" s="202">
        <f>IFERROR(INDEX('V1'!C$300:C$400,MATCH("*"&amp;L13&amp;"*",'V1'!B$300:B$400,0)),"  ")</f>
        <v>16</v>
      </c>
      <c r="AA13" s="202">
        <f>IFERROR(INDEX('V2'!C$300:C$400,MATCH("*"&amp;L13&amp;"*",'V2'!B$300:B$400,0)),"  ")</f>
        <v>16</v>
      </c>
      <c r="AB13" s="202">
        <f>IFERROR(INDEX('V3'!C$300:C$400,MATCH("*"&amp;L13&amp;"*",'V3'!B$300:B$400,0)),"  ")</f>
        <v>22</v>
      </c>
      <c r="AC13" s="202">
        <f>IFERROR(INDEX('V4'!C$300:C$400,MATCH("*"&amp;L13&amp;"*",'V4'!B$300:B$400,0)),"  ")</f>
        <v>24</v>
      </c>
      <c r="AD13" s="202">
        <f>IFERROR(INDEX('V5'!C$300:C$400,MATCH("*"&amp;L13&amp;"*",'V5'!B$300:B$400,0)),"  ")</f>
        <v>30</v>
      </c>
      <c r="AE13" s="202">
        <f>IFERROR(INDEX('V6'!C$300:C$400,MATCH("*"&amp;L13&amp;"*",'V6'!B$300:B$400,0)),"  ")</f>
        <v>16</v>
      </c>
      <c r="AF13" s="202">
        <f>IFERROR(INDEX('V7'!C$300:C$400,MATCH("*"&amp;L13&amp;"*",'V7'!B$300:B$400,0)),"  ")</f>
        <v>22</v>
      </c>
      <c r="AG13" s="202" t="str">
        <f>IFERROR(INDEX('V8'!C$300:C$400,MATCH("*"&amp;L13&amp;"*",'V8'!B$300:B$400,0)),"  ")</f>
        <v>  </v>
      </c>
      <c r="AH13" s="202"/>
      <c r="AI13" s="202"/>
      <c r="AJ13" s="222">
        <f>IF(AN13&gt;(AT$2-1),K13,"")</f>
        <v>7</v>
      </c>
      <c r="AK13" s="223">
        <f>SUM(Z13:AI13)</f>
        <v>146</v>
      </c>
      <c r="AL13" s="224" t="str">
        <f>IFERROR("edasi "&amp;RANK(AJ13,AJ$7:AJ$126,1),K13)</f>
        <v>edasi 7</v>
      </c>
      <c r="AM13" s="225" t="str">
        <f>IFERROR(INDEX(#REF!,MATCH("*"&amp;L13&amp;"*",#REF!,0)),"  ")</f>
        <v>  </v>
      </c>
      <c r="AN13" s="226">
        <f>COUNTIF(Z13:AI13,"&gt;=0")</f>
        <v>7</v>
      </c>
      <c r="AO13" s="126">
        <f>IFERROR(IF(Z13+1&gt;LARGE(Z$7:Z$126,1)-2*LEN(Z$5),1),0)+IFERROR(IF(AA13+1&gt;LARGE(AA$7:AA$126,1)-2*LEN(AA$5),1),0)+IFERROR(IF(AB13+1&gt;LARGE(AB$7:AB$126,1)-2*LEN(AB$5),1),0)+IFERROR(IF(AC13+1&gt;LARGE(AC$7:AC$126,1)-2*LEN(AC$5),1),0)+IFERROR(IF(AD13+1&gt;LARGE(AD$7:AD$126,1)-2*LEN(AD$5),1),0)+IFERROR(IF(AE13+1&gt;LARGE(AE$7:AE$126,1)-2*LEN(AE$5),1),0)+IFERROR(IF(AF13+1&gt;LARGE(AF$7:AF$126,1)-2*LEN(AF$5),1),0)+IFERROR(IF(AG13+1&gt;LARGE(AG$7:AG$126,1)-2*LEN(AG$5),1),0)+IFERROR(IF(AH13+1&gt;LARGE(AH$7:AH$126,1)-2*LEN(AH$5),1),0)+IFERROR(IF(AI13+1&gt;LARGE(AI$7:AI$126,1)-2*LEN(AI$5),1),0)</f>
        <v>3</v>
      </c>
      <c r="AP13" s="126">
        <f>IF(Z13=0,0,IF(Z13=IFERROR(LARGE(Z$7:Z$126,1),0),1,0))+IF(AA13=0,0,IF(AA13=IFERROR(LARGE(AA$7:AA$126,1),0),1,0))+IF(AB13=0,0,IF(AB13=IFERROR(LARGE(AB$7:AB$126,1),0),1,0))+IF(AC13=0,0,IF(AC13=IFERROR(LARGE(AC$7:AC$126,1),0),1,0))+IF(AD13=0,0,IF(AD13=IFERROR(LARGE(AD$7:AD$126,1),0),1,0))+IF(AE13=0,0,IF(AE13=IFERROR(LARGE(AE$7:AE$126,1),0),1,0))+IF(AF13=0,0,IF(AF13=IFERROR(LARGE(AF$7:AF$126,1),0),1,0))+IF(AG13=0,0,IF(AG13=IFERROR(LARGE(AG$7:AG$126,1),0),1,0))+IF(AH13=0,0,IF(AH13=IFERROR(LARGE(AH$7:AH$126,1),0),1,0))+IF(AI13=0,0,IF(AI13=IFERROR(LARGE(AI$7:AI$126,1),0),1,0))</f>
        <v>0</v>
      </c>
      <c r="AQ13" s="233"/>
      <c r="AR13" s="233"/>
      <c r="AS13" s="233"/>
      <c r="AT13" s="234">
        <f>SMALL(AU13:BD13,AT$3)</f>
        <v>0.0008</v>
      </c>
      <c r="AU13" s="235">
        <f>IF(Z13="  ",0+MID(Z$6,FIND("V",Z$6)+1,256)/10000,Z13+MID(Z$6,FIND("V",Z$6)+1,256)/10000)</f>
        <v>16.0001</v>
      </c>
      <c r="AV13" s="235">
        <f>IF(AA13="  ",0+MID(AA$6,FIND("V",AA$6)+1,256)/10000,AA13+MID(AA$6,FIND("V",AA$6)+1,256)/10000)</f>
        <v>16.0002</v>
      </c>
      <c r="AW13" s="235">
        <f>IF(AB13="  ",0+MID(AB$6,FIND("V",AB$6)+1,256)/10000,AB13+MID(AB$6,FIND("V",AB$6)+1,256)/10000)</f>
        <v>22.0003</v>
      </c>
      <c r="AX13" s="235">
        <f>IF(AC13="  ",0+MID(AC$6,FIND("V",AC$6)+1,256)/10000,AC13+MID(AC$6,FIND("V",AC$6)+1,256)/10000)</f>
        <v>24.0004</v>
      </c>
      <c r="AY13" s="235">
        <f>IF(AD13="  ",0+MID(AD$6,FIND("V",AD$6)+1,256)/10000,AD13+MID(AD$6,FIND("V",AD$6)+1,256)/10000)</f>
        <v>30.0005</v>
      </c>
      <c r="AZ13" s="235">
        <f>IF(AE13="  ",0+MID(AE$6,FIND("V",AE$6)+1,256)/10000,AE13+MID(AE$6,FIND("V",AE$6)+1,256)/10000)</f>
        <v>16.0006</v>
      </c>
      <c r="BA13" s="235">
        <f>IF(AF13="  ",0+MID(AF$6,FIND("V",AF$6)+1,256)/10000,AF13+MID(AF$6,FIND("V",AF$6)+1,256)/10000)</f>
        <v>22.0007</v>
      </c>
      <c r="BB13" s="235">
        <f>IF(AG13="  ",0+MID(AG$6,FIND("V",AG$6)+1,256)/10000,AG13+MID(AG$6,FIND("V",AG$6)+1,256)/10000)</f>
        <v>0.0008</v>
      </c>
      <c r="BC13" s="235">
        <f>IF(AH13="  ",0+MID(AH$6,FIND("V",AH$6)+1,256)/10000,AH13+MID(AH$6,FIND("V",AH$6)+1,256)/10000)</f>
        <v>0.0009</v>
      </c>
      <c r="BD13" s="235">
        <f>IF(AI13="  ",0+MID(AI$6,FIND("V",AI$6)+1,256)/10000,AI13+MID(AI$6,FIND("V",AI$6)+1,256)/10000)</f>
        <v>0.001</v>
      </c>
      <c r="BE13" s="233"/>
      <c r="BF13" s="233"/>
      <c r="BG13" s="233"/>
      <c r="BH13" s="233"/>
      <c r="BI13" s="3">
        <f>(LARGE(Z$7:Z$126,1)-Z13)/2+1</f>
        <v>2</v>
      </c>
      <c r="BJ13" s="3">
        <f>(LARGE(AA$7:AA$126,1)-AA13)/2+1</f>
        <v>7</v>
      </c>
      <c r="BK13" s="3">
        <f>(LARGE(AB$7:AB$126,1)-AB13)/2+1</f>
        <v>3</v>
      </c>
      <c r="BL13" s="3">
        <f>(LARGE(AC$7:AC$126,1)-AC13)/2+1</f>
        <v>3</v>
      </c>
      <c r="BM13" s="3">
        <f>(LARGE(AD$7:AD$126,1)-AD13)/2+1</f>
        <v>6</v>
      </c>
      <c r="BN13" s="3">
        <f>(LARGE(AE$7:AE$126,1)-AE13)/2+1</f>
        <v>7</v>
      </c>
      <c r="BO13" s="3">
        <f>(LARGE(AF$7:AF$126,1)-AF13)/2+1</f>
        <v>4</v>
      </c>
      <c r="BP13" s="3" t="e">
        <f>(LARGE(AG$7:AG$126,1)-AG13)/2+1</f>
        <v>#VALUE!</v>
      </c>
      <c r="BQ13" s="3" t="e">
        <f>(LARGE(AH$7:AH$126,1)-AH13)/2+1</f>
        <v>#NUM!</v>
      </c>
      <c r="BR13" s="3" t="e">
        <f>(LARGE(AI$7:AI$126,1)-AI13)/2+1</f>
        <v>#NUM!</v>
      </c>
    </row>
    <row r="14" spans="1:70">
      <c r="A14" s="139">
        <f>IF(R14&gt;0,IF(Q14="Viru SK",RANK(B14,B$7:B$126,1)-COUNTIF((Q$7:Q$126),"&lt;&gt;Viru SK"),""),"")</f>
        <v>6</v>
      </c>
      <c r="B14" s="140">
        <f>IF((Q14="Viru SK"),U14,U14-1000)</f>
        <v>8</v>
      </c>
      <c r="C14" s="141" t="str">
        <f>IF(R14&gt;0,IF(P14="t",RANK(D14,D$7:D$126,1)-COUNTBLANK(P$7:P$126),""),"")</f>
        <v/>
      </c>
      <c r="D14" s="142">
        <f>IF((P14="t"),U14,U14-1000)</f>
        <v>-992</v>
      </c>
      <c r="E14" s="143">
        <f>IF(R14&gt;0,IF(N14="m",RANK(F14,F$7:F$126,1)-COUNTBLANK(N$7:N$126),""),"")</f>
        <v>8</v>
      </c>
      <c r="F14" s="144">
        <f>IF((N14="m"),U14,U14-1000)</f>
        <v>8</v>
      </c>
      <c r="G14" s="145" t="str">
        <f>IF(R14&gt;0,IF(M14="n",RANK(H14,H$7:H$126,1)-COUNTBLANK(M$7:M$126),""),"")</f>
        <v/>
      </c>
      <c r="H14" s="144">
        <f>IF((M14="n"),U14,U14-1000)</f>
        <v>-992</v>
      </c>
      <c r="I14" s="160" t="str">
        <f>IF(R14&gt;0,IF(O14="j",RANK(J14,J$7:J$126,1)-COUNTBLANK(O$7:O$126),""),"")</f>
        <v/>
      </c>
      <c r="J14" s="161">
        <f>IF((O14="j"),U14,U14-1000)</f>
        <v>-992</v>
      </c>
      <c r="K14" s="162">
        <f>IF(R14&gt;0,RANK(U14,U$7:U$126,1),"")</f>
        <v>8</v>
      </c>
      <c r="L14" s="163" t="s">
        <v>204</v>
      </c>
      <c r="M14" s="164"/>
      <c r="N14" s="165" t="str">
        <f>IF(M14="","m","")</f>
        <v>m</v>
      </c>
      <c r="O14" s="166"/>
      <c r="P14" s="167"/>
      <c r="Q14" s="192" t="s">
        <v>171</v>
      </c>
      <c r="R14" s="154">
        <f>(IF(COUNT(Z14,AA14,AB14,AC14,AD14,AE14,AF14,AG14,AH14,AI14)&lt;10,SUM(Z14,AA14,AB14,AC14,AD14,AE14,AF14,AG14,AH14,AI14),SUM(LARGE((Z14,AA14,AB14,AC14,AD14,AE14,AF14,AG14,AH14,AI14),{1;2;3;4;5;6;7;8;9}))))</f>
        <v>144</v>
      </c>
      <c r="S14" s="193" t="str">
        <f>INDEX(ETAPP!B$1:B$32,MATCH(COUNTIF(BI14:BR14,1),ETAPP!A$1:A$32,0))&amp;INDEX(ETAPP!B$1:B$32,MATCH(COUNTIF(BI14:BR14,2),ETAPP!A$1:A$32,0))&amp;INDEX(ETAPP!B$1:B$32,MATCH(COUNTIF(BI14:BR14,3),ETAPP!A$1:A$32,0))&amp;INDEX(ETAPP!B$1:B$32,MATCH(COUNTIF(BI14:BR14,4),ETAPP!A$1:A$32,0))&amp;INDEX(ETAPP!B$1:B$32,MATCH(COUNTIF(BI14:BR14,5),ETAPP!A$1:A$32,0))&amp;INDEX(ETAPP!B$1:B$32,MATCH(COUNTIF(BI14:BR14,6),ETAPP!A$1:A$32,0))&amp;INDEX(ETAPP!B$1:B$32,MATCH(COUNTIF(BI14:BR14,7),ETAPP!A$1:A$32,0))&amp;INDEX(ETAPP!B$1:B$32,MATCH(COUNTIF(BI14:BR14,8),ETAPP!A$1:A$32,0))&amp;INDEX(ETAPP!B$1:B$32,MATCH(COUNTIF(BI14:BR14,9),ETAPP!A$1:A$32,0))&amp;INDEX(ETAPP!B$1:B$32,MATCH(COUNTIF(BI14:BR14,10),ETAPP!A$1:A$32,0))&amp;INDEX(ETAPP!B$1:B$32,MATCH(COUNTIF(BI14:BR14,11),ETAPP!A$1:A$32,0))&amp;INDEX(ETAPP!B$1:B$32,MATCH(COUNTIF(BI14:BR14,12),ETAPP!A$1:A$32,0))&amp;INDEX(ETAPP!B$1:B$32,MATCH(COUNTIF(BI14:BR14,13),ETAPP!A$1:A$32,0))&amp;INDEX(ETAPP!B$1:B$32,MATCH(COUNTIF(BI14:BR14,14),ETAPP!A$1:A$32,0))&amp;INDEX(ETAPP!B$1:B$32,MATCH(COUNTIF(BI14:BR14,15),ETAPP!A$1:A$32,0))&amp;INDEX(ETAPP!B$1:B$32,MATCH(COUNTIF(BI14:BR14,16),ETAPP!A$1:A$32,0))&amp;INDEX(ETAPP!B$1:B$32,MATCH(COUNTIF(BI14:BR14,17),ETAPP!A$1:A$32,0))&amp;INDEX(ETAPP!B$1:B$32,MATCH(COUNTIF(BI14:BR14,18),ETAPP!A$1:A$32,0))&amp;INDEX(ETAPP!B$1:B$32,MATCH(COUNTIF(BI14:BR14,19),ETAPP!A$1:A$32,0))&amp;INDEX(ETAPP!B$1:B$32,MATCH(COUNTIF(BI14:BR14,20),ETAPP!A$1:A$32,0))&amp;INDEX(ETAPP!B$1:B$32,MATCH(COUNTIF(BI14:BR14,21),ETAPP!A$1:A$32,0))</f>
        <v>BAA000A0A000000000000</v>
      </c>
      <c r="T14" s="193" t="str">
        <f>TEXT(R14,"000,0")&amp;"-"&amp;S14</f>
        <v>144,0-BAA000A0A000000000000</v>
      </c>
      <c r="U14" s="193">
        <f>COUNTIF(T$7:T$126,"&gt;="&amp;T14)</f>
        <v>8</v>
      </c>
      <c r="V14" s="193">
        <f>COUNTIF(L$7:L$126,"&gt;="&amp;L14)</f>
        <v>43</v>
      </c>
      <c r="W14" s="193" t="str">
        <f>TEXT(R14,"000,0")&amp;"-"&amp;S14&amp;"-"&amp;TEXT(V14,"000")</f>
        <v>144,0-BAA000A0A000000000000-043</v>
      </c>
      <c r="X14" s="193">
        <f>COUNTIF(W$7:W$126,"&gt;="&amp;W14)</f>
        <v>8</v>
      </c>
      <c r="Y14" s="201">
        <f>RANK(X14,X$7:X$126,0)</f>
        <v>113</v>
      </c>
      <c r="Z14" s="202" t="str">
        <f>IFERROR(INDEX('V1'!C$300:C$400,MATCH("*"&amp;L14&amp;"*",'V1'!B$300:B$400,0)),"  ")</f>
        <v>  </v>
      </c>
      <c r="AA14" s="202">
        <f>IFERROR(INDEX('V2'!C$300:C$400,MATCH("*"&amp;L14&amp;"*",'V2'!B$300:B$400,0)),"  ")</f>
        <v>12</v>
      </c>
      <c r="AB14" s="202" t="str">
        <f>IFERROR(INDEX('V3'!C$300:C$400,MATCH("*"&amp;L14&amp;"*",'V3'!B$300:B$400,0)),"  ")</f>
        <v>  </v>
      </c>
      <c r="AC14" s="202">
        <f>IFERROR(INDEX('V4'!C$300:C$400,MATCH("*"&amp;L14&amp;"*",'V4'!B$300:B$400,0)),"  ")</f>
        <v>28</v>
      </c>
      <c r="AD14" s="202">
        <f>IFERROR(INDEX('V5'!C$300:C$400,MATCH("*"&amp;L14&amp;"*",'V5'!B$300:B$400,0)),"  ")</f>
        <v>28</v>
      </c>
      <c r="AE14" s="202">
        <f>IFERROR(INDEX('V6'!C$300:C$400,MATCH("*"&amp;L14&amp;"*",'V6'!B$300:B$400,0)),"  ")</f>
        <v>26</v>
      </c>
      <c r="AF14" s="202">
        <f>IFERROR(INDEX('V7'!C$300:C$400,MATCH("*"&amp;L14&amp;"*",'V7'!B$300:B$400,0)),"  ")</f>
        <v>24</v>
      </c>
      <c r="AG14" s="202">
        <f>IFERROR(INDEX('V8'!C$300:C$400,MATCH("*"&amp;L14&amp;"*",'V8'!B$300:B$400,0)),"  ")</f>
        <v>26</v>
      </c>
      <c r="AH14" s="202"/>
      <c r="AI14" s="202"/>
      <c r="AJ14" s="222">
        <f>IF(AN14&gt;(AT$2-1),K14,"")</f>
        <v>8</v>
      </c>
      <c r="AK14" s="223">
        <f>SUM(Z14:AI14)</f>
        <v>144</v>
      </c>
      <c r="AL14" s="224" t="str">
        <f>IFERROR("edasi "&amp;RANK(AJ14,AJ$7:AJ$126,1),K14)</f>
        <v>edasi 8</v>
      </c>
      <c r="AM14" s="225" t="str">
        <f>IFERROR(INDEX(#REF!,MATCH("*"&amp;L14&amp;"*",#REF!,0)),"  ")</f>
        <v>  </v>
      </c>
      <c r="AN14" s="226">
        <f>COUNTIF(Z14:AI14,"&gt;=0")</f>
        <v>6</v>
      </c>
      <c r="AO14" s="126">
        <f>IFERROR(IF(Z14+1&gt;LARGE(Z$7:Z$126,1)-2*LEN(Z$5),1),0)+IFERROR(IF(AA14+1&gt;LARGE(AA$7:AA$126,1)-2*LEN(AA$5),1),0)+IFERROR(IF(AB14+1&gt;LARGE(AB$7:AB$126,1)-2*LEN(AB$5),1),0)+IFERROR(IF(AC14+1&gt;LARGE(AC$7:AC$126,1)-2*LEN(AC$5),1),0)+IFERROR(IF(AD14+1&gt;LARGE(AD$7:AD$126,1)-2*LEN(AD$5),1),0)+IFERROR(IF(AE14+1&gt;LARGE(AE$7:AE$126,1)-2*LEN(AE$5),1),0)+IFERROR(IF(AF14+1&gt;LARGE(AF$7:AF$126,1)-2*LEN(AF$5),1),0)+IFERROR(IF(AG14+1&gt;LARGE(AG$7:AG$126,1)-2*LEN(AG$5),1),0)+IFERROR(IF(AH14+1&gt;LARGE(AH$7:AH$126,1)-2*LEN(AH$5),1),0)+IFERROR(IF(AI14+1&gt;LARGE(AI$7:AI$126,1)-2*LEN(AI$5),1),0)</f>
        <v>4</v>
      </c>
      <c r="AP14" s="126">
        <f>IF(Z14=0,0,IF(Z14=IFERROR(LARGE(Z$7:Z$126,1),0),1,0))+IF(AA14=0,0,IF(AA14=IFERROR(LARGE(AA$7:AA$126,1),0),1,0))+IF(AB14=0,0,IF(AB14=IFERROR(LARGE(AB$7:AB$126,1),0),1,0))+IF(AC14=0,0,IF(AC14=IFERROR(LARGE(AC$7:AC$126,1),0),1,0))+IF(AD14=0,0,IF(AD14=IFERROR(LARGE(AD$7:AD$126,1),0),1,0))+IF(AE14=0,0,IF(AE14=IFERROR(LARGE(AE$7:AE$126,1),0),1,0))+IF(AF14=0,0,IF(AF14=IFERROR(LARGE(AF$7:AF$126,1),0),1,0))+IF(AG14=0,0,IF(AG14=IFERROR(LARGE(AG$7:AG$126,1),0),1,0))+IF(AH14=0,0,IF(AH14=IFERROR(LARGE(AH$7:AH$126,1),0),1,0))+IF(AI14=0,0,IF(AI14=IFERROR(LARGE(AI$7:AI$126,1),0),1,0))</f>
        <v>2</v>
      </c>
      <c r="AQ14" s="233"/>
      <c r="AR14" s="233"/>
      <c r="AS14" s="233"/>
      <c r="AT14" s="234">
        <f>SMALL(AU14:BD14,AT$3)</f>
        <v>0.0001</v>
      </c>
      <c r="AU14" s="235">
        <f>IF(Z14="  ",0+MID(Z$6,FIND("V",Z$6)+1,256)/10000,Z14+MID(Z$6,FIND("V",Z$6)+1,256)/10000)</f>
        <v>0.0001</v>
      </c>
      <c r="AV14" s="235">
        <f>IF(AA14="  ",0+MID(AA$6,FIND("V",AA$6)+1,256)/10000,AA14+MID(AA$6,FIND("V",AA$6)+1,256)/10000)</f>
        <v>12.0002</v>
      </c>
      <c r="AW14" s="235">
        <f>IF(AB14="  ",0+MID(AB$6,FIND("V",AB$6)+1,256)/10000,AB14+MID(AB$6,FIND("V",AB$6)+1,256)/10000)</f>
        <v>0.0003</v>
      </c>
      <c r="AX14" s="235">
        <f>IF(AC14="  ",0+MID(AC$6,FIND("V",AC$6)+1,256)/10000,AC14+MID(AC$6,FIND("V",AC$6)+1,256)/10000)</f>
        <v>28.0004</v>
      </c>
      <c r="AY14" s="235">
        <f>IF(AD14="  ",0+MID(AD$6,FIND("V",AD$6)+1,256)/10000,AD14+MID(AD$6,FIND("V",AD$6)+1,256)/10000)</f>
        <v>28.0005</v>
      </c>
      <c r="AZ14" s="235">
        <f>IF(AE14="  ",0+MID(AE$6,FIND("V",AE$6)+1,256)/10000,AE14+MID(AE$6,FIND("V",AE$6)+1,256)/10000)</f>
        <v>26.0006</v>
      </c>
      <c r="BA14" s="235">
        <f>IF(AF14="  ",0+MID(AF$6,FIND("V",AF$6)+1,256)/10000,AF14+MID(AF$6,FIND("V",AF$6)+1,256)/10000)</f>
        <v>24.0007</v>
      </c>
      <c r="BB14" s="235">
        <f>IF(AG14="  ",0+MID(AG$6,FIND("V",AG$6)+1,256)/10000,AG14+MID(AG$6,FIND("V",AG$6)+1,256)/10000)</f>
        <v>26.0008</v>
      </c>
      <c r="BC14" s="235">
        <f>IF(AH14="  ",0+MID(AH$6,FIND("V",AH$6)+1,256)/10000,AH14+MID(AH$6,FIND("V",AH$6)+1,256)/10000)</f>
        <v>0.0009</v>
      </c>
      <c r="BD14" s="235">
        <f>IF(AI14="  ",0+MID(AI$6,FIND("V",AI$6)+1,256)/10000,AI14+MID(AI$6,FIND("V",AI$6)+1,256)/10000)</f>
        <v>0.001</v>
      </c>
      <c r="BE14" s="233"/>
      <c r="BF14" s="233"/>
      <c r="BG14" s="233"/>
      <c r="BH14" s="233"/>
      <c r="BI14" s="3" t="e">
        <f>(LARGE(Z$7:Z$126,1)-Z14)/2+1</f>
        <v>#VALUE!</v>
      </c>
      <c r="BJ14" s="3">
        <f>(LARGE(AA$7:AA$126,1)-AA14)/2+1</f>
        <v>9</v>
      </c>
      <c r="BK14" s="3" t="e">
        <f>(LARGE(AB$7:AB$126,1)-AB14)/2+1</f>
        <v>#VALUE!</v>
      </c>
      <c r="BL14" s="3">
        <f>(LARGE(AC$7:AC$126,1)-AC14)/2+1</f>
        <v>1</v>
      </c>
      <c r="BM14" s="3">
        <f>(LARGE(AD$7:AD$126,1)-AD14)/2+1</f>
        <v>7</v>
      </c>
      <c r="BN14" s="3">
        <f>(LARGE(AE$7:AE$126,1)-AE14)/2+1</f>
        <v>2</v>
      </c>
      <c r="BO14" s="3">
        <f>(LARGE(AF$7:AF$126,1)-AF14)/2+1</f>
        <v>3</v>
      </c>
      <c r="BP14" s="3">
        <f>(LARGE(AG$7:AG$126,1)-AG14)/2+1</f>
        <v>1</v>
      </c>
      <c r="BQ14" s="3" t="e">
        <f>(LARGE(AH$7:AH$126,1)-AH14)/2+1</f>
        <v>#NUM!</v>
      </c>
      <c r="BR14" s="3" t="e">
        <f>(LARGE(AI$7:AI$126,1)-AI14)/2+1</f>
        <v>#NUM!</v>
      </c>
    </row>
    <row r="15" spans="1:70">
      <c r="A15" s="139" t="str">
        <f>IF(R15&gt;0,IF(Q15="Viru SK",RANK(B15,B$7:B$126,1)-COUNTIF((Q$7:Q$126),"&lt;&gt;Viru SK"),""),"")</f>
        <v/>
      </c>
      <c r="B15" s="140">
        <f>IF((Q15="Viru SK"),U15,U15-1000)</f>
        <v>-991</v>
      </c>
      <c r="C15" s="141" t="str">
        <f>IF(R15&gt;0,IF(P15="t",RANK(D15,D$7:D$126,1)-COUNTBLANK(P$7:P$126),""),"")</f>
        <v/>
      </c>
      <c r="D15" s="142">
        <f>IF((P15="t"),U15,U15-1000)</f>
        <v>-991</v>
      </c>
      <c r="E15" s="143">
        <f>IF(R15&gt;0,IF(N15="m",RANK(F15,F$7:F$126,1)-COUNTBLANK(N$7:N$126),""),"")</f>
        <v>9</v>
      </c>
      <c r="F15" s="144">
        <f>IF((N15="m"),U15,U15-1000)</f>
        <v>9</v>
      </c>
      <c r="G15" s="145" t="str">
        <f>IF(R15&gt;0,IF(M15="n",RANK(H15,H$7:H$126,1)-COUNTBLANK(M$7:M$126),""),"")</f>
        <v/>
      </c>
      <c r="H15" s="144">
        <f>IF((M15="n"),U15,U15-1000)</f>
        <v>-991</v>
      </c>
      <c r="I15" s="160" t="str">
        <f>IF(R15&gt;0,IF(O15="j",RANK(J15,J$7:J$126,1)-COUNTBLANK(O$7:O$126),""),"")</f>
        <v/>
      </c>
      <c r="J15" s="161">
        <f>IF((O15="j"),U15,U15-1000)</f>
        <v>-991</v>
      </c>
      <c r="K15" s="162">
        <f>IF(R15&gt;0,RANK(U15,U$7:U$126,1),"")</f>
        <v>9</v>
      </c>
      <c r="L15" s="168" t="s">
        <v>205</v>
      </c>
      <c r="M15" s="164"/>
      <c r="N15" s="165" t="str">
        <f>IF(M15="","m","")</f>
        <v>m</v>
      </c>
      <c r="O15" s="166"/>
      <c r="P15" s="167"/>
      <c r="Q15" s="192" t="s">
        <v>200</v>
      </c>
      <c r="R15" s="154">
        <f>(IF(COUNT(Z15,AA15,AB15,AC15,AD15,AE15,AF15,AG15,AH15,AI15)&lt;10,SUM(Z15,AA15,AB15,AC15,AD15,AE15,AF15,AG15,AH15,AI15),SUM(LARGE((Z15,AA15,AB15,AC15,AD15,AE15,AF15,AG15,AH15,AI15),{1;2;3;4;5;6;7;8;9}))))</f>
        <v>112</v>
      </c>
      <c r="S15" s="193" t="str">
        <f>INDEX(ETAPP!B$1:B$32,MATCH(COUNTIF(BI15:BR15,1),ETAPP!A$1:A$32,0))&amp;INDEX(ETAPP!B$1:B$32,MATCH(COUNTIF(BI15:BR15,2),ETAPP!A$1:A$32,0))&amp;INDEX(ETAPP!B$1:B$32,MATCH(COUNTIF(BI15:BR15,3),ETAPP!A$1:A$32,0))&amp;INDEX(ETAPP!B$1:B$32,MATCH(COUNTIF(BI15:BR15,4),ETAPP!A$1:A$32,0))&amp;INDEX(ETAPP!B$1:B$32,MATCH(COUNTIF(BI15:BR15,5),ETAPP!A$1:A$32,0))&amp;INDEX(ETAPP!B$1:B$32,MATCH(COUNTIF(BI15:BR15,6),ETAPP!A$1:A$32,0))&amp;INDEX(ETAPP!B$1:B$32,MATCH(COUNTIF(BI15:BR15,7),ETAPP!A$1:A$32,0))&amp;INDEX(ETAPP!B$1:B$32,MATCH(COUNTIF(BI15:BR15,8),ETAPP!A$1:A$32,0))&amp;INDEX(ETAPP!B$1:B$32,MATCH(COUNTIF(BI15:BR15,9),ETAPP!A$1:A$32,0))&amp;INDEX(ETAPP!B$1:B$32,MATCH(COUNTIF(BI15:BR15,10),ETAPP!A$1:A$32,0))&amp;INDEX(ETAPP!B$1:B$32,MATCH(COUNTIF(BI15:BR15,11),ETAPP!A$1:A$32,0))&amp;INDEX(ETAPP!B$1:B$32,MATCH(COUNTIF(BI15:BR15,12),ETAPP!A$1:A$32,0))&amp;INDEX(ETAPP!B$1:B$32,MATCH(COUNTIF(BI15:BR15,13),ETAPP!A$1:A$32,0))&amp;INDEX(ETAPP!B$1:B$32,MATCH(COUNTIF(BI15:BR15,14),ETAPP!A$1:A$32,0))&amp;INDEX(ETAPP!B$1:B$32,MATCH(COUNTIF(BI15:BR15,15),ETAPP!A$1:A$32,0))&amp;INDEX(ETAPP!B$1:B$32,MATCH(COUNTIF(BI15:BR15,16),ETAPP!A$1:A$32,0))&amp;INDEX(ETAPP!B$1:B$32,MATCH(COUNTIF(BI15:BR15,17),ETAPP!A$1:A$32,0))&amp;INDEX(ETAPP!B$1:B$32,MATCH(COUNTIF(BI15:BR15,18),ETAPP!A$1:A$32,0))&amp;INDEX(ETAPP!B$1:B$32,MATCH(COUNTIF(BI15:BR15,19),ETAPP!A$1:A$32,0))&amp;INDEX(ETAPP!B$1:B$32,MATCH(COUNTIF(BI15:BR15,20),ETAPP!A$1:A$32,0))&amp;INDEX(ETAPP!B$1:B$32,MATCH(COUNTIF(BI15:BR15,21),ETAPP!A$1:A$32,0))</f>
        <v>00AA0AAA00A0000000000</v>
      </c>
      <c r="T15" s="193" t="str">
        <f>TEXT(R15,"000,0")&amp;"-"&amp;S15</f>
        <v>112,0-00AA0AAA00A0000000000</v>
      </c>
      <c r="U15" s="193">
        <f>COUNTIF(T$7:T$126,"&gt;="&amp;T15)</f>
        <v>9</v>
      </c>
      <c r="V15" s="193">
        <f>COUNTIF(L$7:L$126,"&gt;="&amp;L15)</f>
        <v>83</v>
      </c>
      <c r="W15" s="193" t="str">
        <f>TEXT(R15,"000,0")&amp;"-"&amp;S15&amp;"-"&amp;TEXT(V15,"000")</f>
        <v>112,0-00AA0AAA00A0000000000-083</v>
      </c>
      <c r="X15" s="193">
        <f>COUNTIF(W$7:W$126,"&gt;="&amp;W15)</f>
        <v>9</v>
      </c>
      <c r="Y15" s="201">
        <f>RANK(X15,X$7:X$126,0)</f>
        <v>112</v>
      </c>
      <c r="Z15" s="202" t="str">
        <f>IFERROR(INDEX('V1'!C$300:C$400,MATCH("*"&amp;L15&amp;"*",'V1'!B$300:B$400,0)),"  ")</f>
        <v>  </v>
      </c>
      <c r="AA15" s="202">
        <f>IFERROR(INDEX('V2'!C$300:C$400,MATCH("*"&amp;L15&amp;"*",'V2'!B$300:B$400,0)),"  ")</f>
        <v>14</v>
      </c>
      <c r="AB15" s="202" t="str">
        <f>IFERROR(INDEX('V3'!C$300:C$400,MATCH("*"&amp;L15&amp;"*",'V3'!B$300:B$400,0)),"  ")</f>
        <v>  </v>
      </c>
      <c r="AC15" s="202">
        <f>IFERROR(INDEX('V4'!C$300:C$400,MATCH("*"&amp;L15&amp;"*",'V4'!B$300:B$400,0)),"  ")</f>
        <v>22</v>
      </c>
      <c r="AD15" s="202">
        <f>IFERROR(INDEX('V5'!C$300:C$400,MATCH("*"&amp;L15&amp;"*",'V5'!B$300:B$400,0)),"  ")</f>
        <v>36</v>
      </c>
      <c r="AE15" s="202">
        <f>IFERROR(INDEX('V6'!C$300:C$400,MATCH("*"&amp;L15&amp;"*",'V6'!B$300:B$400,0)),"  ")</f>
        <v>18</v>
      </c>
      <c r="AF15" s="202">
        <f>IFERROR(INDEX('V7'!C$300:C$400,MATCH("*"&amp;L15&amp;"*",'V7'!B$300:B$400,0)),"  ")</f>
        <v>16</v>
      </c>
      <c r="AG15" s="202">
        <f>IFERROR(INDEX('V8'!C$300:C$400,MATCH("*"&amp;L15&amp;"*",'V8'!B$300:B$400,0)),"  ")</f>
        <v>6</v>
      </c>
      <c r="AH15" s="202"/>
      <c r="AI15" s="202"/>
      <c r="AJ15" s="222">
        <f>IF(AN15&gt;(AT$2-1),K15,"")</f>
        <v>9</v>
      </c>
      <c r="AK15" s="223">
        <f>SUM(Z15:AI15)</f>
        <v>112</v>
      </c>
      <c r="AL15" s="224" t="str">
        <f>IFERROR("edasi "&amp;RANK(AJ15,AJ$7:AJ$126,1),K15)</f>
        <v>edasi 9</v>
      </c>
      <c r="AM15" s="225" t="str">
        <f>IFERROR(INDEX(#REF!,MATCH("*"&amp;L15&amp;"*",#REF!,0)),"  ")</f>
        <v>  </v>
      </c>
      <c r="AN15" s="226">
        <f>COUNTIF(Z15:AI15,"&gt;=0")</f>
        <v>6</v>
      </c>
      <c r="AO15" s="126">
        <f>IFERROR(IF(Z15+1&gt;LARGE(Z$7:Z$126,1)-2*LEN(Z$5),1),0)+IFERROR(IF(AA15+1&gt;LARGE(AA$7:AA$126,1)-2*LEN(AA$5),1),0)+IFERROR(IF(AB15+1&gt;LARGE(AB$7:AB$126,1)-2*LEN(AB$5),1),0)+IFERROR(IF(AC15+1&gt;LARGE(AC$7:AC$126,1)-2*LEN(AC$5),1),0)+IFERROR(IF(AD15+1&gt;LARGE(AD$7:AD$126,1)-2*LEN(AD$5),1),0)+IFERROR(IF(AE15+1&gt;LARGE(AE$7:AE$126,1)-2*LEN(AE$5),1),0)+IFERROR(IF(AF15+1&gt;LARGE(AF$7:AF$126,1)-2*LEN(AF$5),1),0)+IFERROR(IF(AG15+1&gt;LARGE(AG$7:AG$126,1)-2*LEN(AG$5),1),0)+IFERROR(IF(AH15+1&gt;LARGE(AH$7:AH$126,1)-2*LEN(AH$5),1),0)+IFERROR(IF(AI15+1&gt;LARGE(AI$7:AI$126,1)-2*LEN(AI$5),1),0)</f>
        <v>1</v>
      </c>
      <c r="AP15" s="126">
        <f>IF(Z15=0,0,IF(Z15=IFERROR(LARGE(Z$7:Z$126,1),0),1,0))+IF(AA15=0,0,IF(AA15=IFERROR(LARGE(AA$7:AA$126,1),0),1,0))+IF(AB15=0,0,IF(AB15=IFERROR(LARGE(AB$7:AB$126,1),0),1,0))+IF(AC15=0,0,IF(AC15=IFERROR(LARGE(AC$7:AC$126,1),0),1,0))+IF(AD15=0,0,IF(AD15=IFERROR(LARGE(AD$7:AD$126,1),0),1,0))+IF(AE15=0,0,IF(AE15=IFERROR(LARGE(AE$7:AE$126,1),0),1,0))+IF(AF15=0,0,IF(AF15=IFERROR(LARGE(AF$7:AF$126,1),0),1,0))+IF(AG15=0,0,IF(AG15=IFERROR(LARGE(AG$7:AG$126,1),0),1,0))+IF(AH15=0,0,IF(AH15=IFERROR(LARGE(AH$7:AH$126,1),0),1,0))+IF(AI15=0,0,IF(AI15=IFERROR(LARGE(AI$7:AI$126,1),0),1,0))</f>
        <v>0</v>
      </c>
      <c r="AQ15" s="233"/>
      <c r="AR15" s="233"/>
      <c r="AS15" s="233"/>
      <c r="AT15" s="234">
        <f>SMALL(AU15:BD15,AT$3)</f>
        <v>0.0001</v>
      </c>
      <c r="AU15" s="235">
        <f>IF(Z15="  ",0+MID(Z$6,FIND("V",Z$6)+1,256)/10000,Z15+MID(Z$6,FIND("V",Z$6)+1,256)/10000)</f>
        <v>0.0001</v>
      </c>
      <c r="AV15" s="235">
        <f>IF(AA15="  ",0+MID(AA$6,FIND("V",AA$6)+1,256)/10000,AA15+MID(AA$6,FIND("V",AA$6)+1,256)/10000)</f>
        <v>14.0002</v>
      </c>
      <c r="AW15" s="235">
        <f>IF(AB15="  ",0+MID(AB$6,FIND("V",AB$6)+1,256)/10000,AB15+MID(AB$6,FIND("V",AB$6)+1,256)/10000)</f>
        <v>0.0003</v>
      </c>
      <c r="AX15" s="235">
        <f>IF(AC15="  ",0+MID(AC$6,FIND("V",AC$6)+1,256)/10000,AC15+MID(AC$6,FIND("V",AC$6)+1,256)/10000)</f>
        <v>22.0004</v>
      </c>
      <c r="AY15" s="235">
        <f>IF(AD15="  ",0+MID(AD$6,FIND("V",AD$6)+1,256)/10000,AD15+MID(AD$6,FIND("V",AD$6)+1,256)/10000)</f>
        <v>36.0005</v>
      </c>
      <c r="AZ15" s="235">
        <f>IF(AE15="  ",0+MID(AE$6,FIND("V",AE$6)+1,256)/10000,AE15+MID(AE$6,FIND("V",AE$6)+1,256)/10000)</f>
        <v>18.0006</v>
      </c>
      <c r="BA15" s="235">
        <f>IF(AF15="  ",0+MID(AF$6,FIND("V",AF$6)+1,256)/10000,AF15+MID(AF$6,FIND("V",AF$6)+1,256)/10000)</f>
        <v>16.0007</v>
      </c>
      <c r="BB15" s="235">
        <f>IF(AG15="  ",0+MID(AG$6,FIND("V",AG$6)+1,256)/10000,AG15+MID(AG$6,FIND("V",AG$6)+1,256)/10000)</f>
        <v>6.0008</v>
      </c>
      <c r="BC15" s="235">
        <f>IF(AH15="  ",0+MID(AH$6,FIND("V",AH$6)+1,256)/10000,AH15+MID(AH$6,FIND("V",AH$6)+1,256)/10000)</f>
        <v>0.0009</v>
      </c>
      <c r="BD15" s="235">
        <f>IF(AI15="  ",0+MID(AI$6,FIND("V",AI$6)+1,256)/10000,AI15+MID(AI$6,FIND("V",AI$6)+1,256)/10000)</f>
        <v>0.001</v>
      </c>
      <c r="BE15" s="233"/>
      <c r="BF15" s="233"/>
      <c r="BG15" s="233"/>
      <c r="BH15" s="233"/>
      <c r="BI15" s="3" t="e">
        <f>(LARGE(Z$7:Z$126,1)-Z15)/2+1</f>
        <v>#VALUE!</v>
      </c>
      <c r="BJ15" s="3">
        <f>(LARGE(AA$7:AA$126,1)-AA15)/2+1</f>
        <v>8</v>
      </c>
      <c r="BK15" s="3" t="e">
        <f>(LARGE(AB$7:AB$126,1)-AB15)/2+1</f>
        <v>#VALUE!</v>
      </c>
      <c r="BL15" s="3">
        <f>(LARGE(AC$7:AC$126,1)-AC15)/2+1</f>
        <v>4</v>
      </c>
      <c r="BM15" s="3">
        <f>(LARGE(AD$7:AD$126,1)-AD15)/2+1</f>
        <v>3</v>
      </c>
      <c r="BN15" s="3">
        <f>(LARGE(AE$7:AE$126,1)-AE15)/2+1</f>
        <v>6</v>
      </c>
      <c r="BO15" s="3">
        <f>(LARGE(AF$7:AF$126,1)-AF15)/2+1</f>
        <v>7</v>
      </c>
      <c r="BP15" s="3">
        <f>(LARGE(AG$7:AG$126,1)-AG15)/2+1</f>
        <v>11</v>
      </c>
      <c r="BQ15" s="3" t="e">
        <f>(LARGE(AH$7:AH$126,1)-AH15)/2+1</f>
        <v>#NUM!</v>
      </c>
      <c r="BR15" s="3" t="e">
        <f>(LARGE(AI$7:AI$126,1)-AI15)/2+1</f>
        <v>#NUM!</v>
      </c>
    </row>
    <row r="16" spans="1:70">
      <c r="A16" s="139">
        <f>IF(R16&gt;0,IF(Q16="Viru SK",RANK(B16,B$7:B$126,1)-COUNTIF((Q$7:Q$126),"&lt;&gt;Viru SK"),""),"")</f>
        <v>7</v>
      </c>
      <c r="B16" s="140">
        <f>IF((Q16="Viru SK"),U16,U16-1000)</f>
        <v>10</v>
      </c>
      <c r="C16" s="141" t="str">
        <f>IF(R16&gt;0,IF(P16="t",RANK(D16,D$7:D$126,1)-COUNTBLANK(P$7:P$126),""),"")</f>
        <v/>
      </c>
      <c r="D16" s="142">
        <f>IF((P16="t"),U16,U16-1000)</f>
        <v>-990</v>
      </c>
      <c r="E16" s="143">
        <f>IF(R16&gt;0,IF(N16="m",RANK(F16,F$7:F$126,1)-COUNTBLANK(N$7:N$126),""),"")</f>
        <v>10</v>
      </c>
      <c r="F16" s="144">
        <f>IF((N16="m"),U16,U16-1000)</f>
        <v>10</v>
      </c>
      <c r="G16" s="145" t="str">
        <f>IF(R16&gt;0,IF(M16="n",RANK(H16,H$7:H$126,1)-COUNTBLANK(M$7:M$126),""),"")</f>
        <v/>
      </c>
      <c r="H16" s="144">
        <f>IF((M16="n"),U16,U16-1000)</f>
        <v>-990</v>
      </c>
      <c r="I16" s="160" t="str">
        <f>IF(R16&gt;0,IF(O16="j",RANK(J16,J$7:J$126,1)-COUNTBLANK(O$7:O$126),""),"")</f>
        <v/>
      </c>
      <c r="J16" s="161">
        <f>IF((O16="j"),U16,U16-1000)</f>
        <v>-990</v>
      </c>
      <c r="K16" s="162">
        <f>IF(R16&gt;0,RANK(U16,U$7:U$126,1),"")</f>
        <v>10</v>
      </c>
      <c r="L16" s="163" t="s">
        <v>206</v>
      </c>
      <c r="M16" s="164"/>
      <c r="N16" s="165" t="str">
        <f>IF(M16="","m","")</f>
        <v>m</v>
      </c>
      <c r="O16" s="166"/>
      <c r="P16" s="167"/>
      <c r="Q16" s="192" t="s">
        <v>171</v>
      </c>
      <c r="R16" s="154">
        <f>(IF(COUNT(Z16,AA16,AB16,AC16,AD16,AE16,AF16,AG16,AH16,AI16)&lt;10,SUM(Z16,AA16,AB16,AC16,AD16,AE16,AF16,AG16,AH16,AI16),SUM(LARGE((Z16,AA16,AB16,AC16,AD16,AE16,AF16,AG16,AH16,AI16),{1;2;3;4;5;6;7;8;9}))))</f>
        <v>104</v>
      </c>
      <c r="S16" s="193" t="str">
        <f>INDEX(ETAPP!B$1:B$32,MATCH(COUNTIF(BI16:BR16,1),ETAPP!A$1:A$32,0))&amp;INDEX(ETAPP!B$1:B$32,MATCH(COUNTIF(BI16:BR16,2),ETAPP!A$1:A$32,0))&amp;INDEX(ETAPP!B$1:B$32,MATCH(COUNTIF(BI16:BR16,3),ETAPP!A$1:A$32,0))&amp;INDEX(ETAPP!B$1:B$32,MATCH(COUNTIF(BI16:BR16,4),ETAPP!A$1:A$32,0))&amp;INDEX(ETAPP!B$1:B$32,MATCH(COUNTIF(BI16:BR16,5),ETAPP!A$1:A$32,0))&amp;INDEX(ETAPP!B$1:B$32,MATCH(COUNTIF(BI16:BR16,6),ETAPP!A$1:A$32,0))&amp;INDEX(ETAPP!B$1:B$32,MATCH(COUNTIF(BI16:BR16,7),ETAPP!A$1:A$32,0))&amp;INDEX(ETAPP!B$1:B$32,MATCH(COUNTIF(BI16:BR16,8),ETAPP!A$1:A$32,0))&amp;INDEX(ETAPP!B$1:B$32,MATCH(COUNTIF(BI16:BR16,9),ETAPP!A$1:A$32,0))&amp;INDEX(ETAPP!B$1:B$32,MATCH(COUNTIF(BI16:BR16,10),ETAPP!A$1:A$32,0))&amp;INDEX(ETAPP!B$1:B$32,MATCH(COUNTIF(BI16:BR16,11),ETAPP!A$1:A$32,0))&amp;INDEX(ETAPP!B$1:B$32,MATCH(COUNTIF(BI16:BR16,12),ETAPP!A$1:A$32,0))&amp;INDEX(ETAPP!B$1:B$32,MATCH(COUNTIF(BI16:BR16,13),ETAPP!A$1:A$32,0))&amp;INDEX(ETAPP!B$1:B$32,MATCH(COUNTIF(BI16:BR16,14),ETAPP!A$1:A$32,0))&amp;INDEX(ETAPP!B$1:B$32,MATCH(COUNTIF(BI16:BR16,15),ETAPP!A$1:A$32,0))&amp;INDEX(ETAPP!B$1:B$32,MATCH(COUNTIF(BI16:BR16,16),ETAPP!A$1:A$32,0))&amp;INDEX(ETAPP!B$1:B$32,MATCH(COUNTIF(BI16:BR16,17),ETAPP!A$1:A$32,0))&amp;INDEX(ETAPP!B$1:B$32,MATCH(COUNTIF(BI16:BR16,18),ETAPP!A$1:A$32,0))&amp;INDEX(ETAPP!B$1:B$32,MATCH(COUNTIF(BI16:BR16,19),ETAPP!A$1:A$32,0))&amp;INDEX(ETAPP!B$1:B$32,MATCH(COUNTIF(BI16:BR16,20),ETAPP!A$1:A$32,0))&amp;INDEX(ETAPP!B$1:B$32,MATCH(COUNTIF(BI16:BR16,21),ETAPP!A$1:A$32,0))</f>
        <v>000ABA0AA0000A0A00000</v>
      </c>
      <c r="T16" s="193" t="str">
        <f>TEXT(R16,"000,0")&amp;"-"&amp;S16</f>
        <v>104,0-000ABA0AA0000A0A00000</v>
      </c>
      <c r="U16" s="193">
        <f>COUNTIF(T$7:T$126,"&gt;="&amp;T16)</f>
        <v>10</v>
      </c>
      <c r="V16" s="193">
        <f>COUNTIF(L$7:L$126,"&gt;="&amp;L16)</f>
        <v>111</v>
      </c>
      <c r="W16" s="193" t="str">
        <f>TEXT(R16,"000,0")&amp;"-"&amp;S16&amp;"-"&amp;TEXT(V16,"000")</f>
        <v>104,0-000ABA0AA0000A0A00000-111</v>
      </c>
      <c r="X16" s="193">
        <f>COUNTIF(W$7:W$126,"&gt;="&amp;W16)</f>
        <v>10</v>
      </c>
      <c r="Y16" s="201">
        <f>RANK(X16,X$7:X$126,0)</f>
        <v>111</v>
      </c>
      <c r="Z16" s="202">
        <f>IFERROR(INDEX('V1'!C$300:C$400,MATCH("*"&amp;L16&amp;"*",'V1'!B$300:B$400,0)),"  ")</f>
        <v>2</v>
      </c>
      <c r="AA16" s="202">
        <f>IFERROR(INDEX('V2'!C$300:C$400,MATCH("*"&amp;L16&amp;"*",'V2'!B$300:B$400,0)),"  ")</f>
        <v>20</v>
      </c>
      <c r="AB16" s="202">
        <f>IFERROR(INDEX('V3'!C$300:C$400,MATCH("*"&amp;L16&amp;"*",'V3'!B$300:B$400,0)),"  ")</f>
        <v>12</v>
      </c>
      <c r="AC16" s="202">
        <f>IFERROR(INDEX('V4'!C$300:C$400,MATCH("*"&amp;L16&amp;"*",'V4'!B$300:B$400,0)),"  ")</f>
        <v>18</v>
      </c>
      <c r="AD16" s="203">
        <f>IFERROR(INDEX('V5'!C$300:C$400,MATCH("*"&amp;L16&amp;"*",'V5'!B$300:B$400,0)),"  ")</f>
        <v>10</v>
      </c>
      <c r="AE16" s="202">
        <f>IFERROR(INDEX('V6'!C$300:C$400,MATCH("*"&amp;L16&amp;"*",'V6'!B$300:B$400,0)),"  ")</f>
        <v>2</v>
      </c>
      <c r="AF16" s="202">
        <f>IFERROR(INDEX('V7'!C$300:C$400,MATCH("*"&amp;L16&amp;"*",'V7'!B$300:B$400,0)),"  ")</f>
        <v>20</v>
      </c>
      <c r="AG16" s="202">
        <f>IFERROR(INDEX('V8'!C$300:C$400,MATCH("*"&amp;L16&amp;"*",'V8'!B$300:B$400,0)),"  ")</f>
        <v>20</v>
      </c>
      <c r="AH16" s="202"/>
      <c r="AI16" s="202"/>
      <c r="AJ16" s="222">
        <f>IF(AN16&gt;(AT$2-1),K16,"")</f>
        <v>10</v>
      </c>
      <c r="AK16" s="223">
        <f>SUM(Z16:AI16)</f>
        <v>104</v>
      </c>
      <c r="AL16" s="224" t="str">
        <f>IFERROR("edasi "&amp;RANK(AJ16,AJ$7:AJ$126,1),K16)</f>
        <v>edasi 10</v>
      </c>
      <c r="AM16" s="225" t="str">
        <f>IFERROR(INDEX(#REF!,MATCH("*"&amp;L16&amp;"*",#REF!,0)),"  ")</f>
        <v>  </v>
      </c>
      <c r="AN16" s="226">
        <f>COUNTIF(Z16:AI16,"&gt;=0")</f>
        <v>8</v>
      </c>
      <c r="AO16" s="126">
        <f>IFERROR(IF(Z16+1&gt;LARGE(Z$7:Z$126,1)-2*LEN(Z$5),1),0)+IFERROR(IF(AA16+1&gt;LARGE(AA$7:AA$126,1)-2*LEN(AA$5),1),0)+IFERROR(IF(AB16+1&gt;LARGE(AB$7:AB$126,1)-2*LEN(AB$5),1),0)+IFERROR(IF(AC16+1&gt;LARGE(AC$7:AC$126,1)-2*LEN(AC$5),1),0)+IFERROR(IF(AD16+1&gt;LARGE(AD$7:AD$126,1)-2*LEN(AD$5),1),0)+IFERROR(IF(AE16+1&gt;LARGE(AE$7:AE$126,1)-2*LEN(AE$5),1),0)+IFERROR(IF(AF16+1&gt;LARGE(AF$7:AF$126,1)-2*LEN(AF$5),1),0)+IFERROR(IF(AG16+1&gt;LARGE(AG$7:AG$126,1)-2*LEN(AG$5),1),0)+IFERROR(IF(AH16+1&gt;LARGE(AH$7:AH$126,1)-2*LEN(AH$5),1),0)+IFERROR(IF(AI16+1&gt;LARGE(AI$7:AI$126,1)-2*LEN(AI$5),1),0)</f>
        <v>0</v>
      </c>
      <c r="AP16" s="126">
        <f>IF(Z16=0,0,IF(Z16=IFERROR(LARGE(Z$7:Z$126,1),0),1,0))+IF(AA16=0,0,IF(AA16=IFERROR(LARGE(AA$7:AA$126,1),0),1,0))+IF(AB16=0,0,IF(AB16=IFERROR(LARGE(AB$7:AB$126,1),0),1,0))+IF(AC16=0,0,IF(AC16=IFERROR(LARGE(AC$7:AC$126,1),0),1,0))+IF(AD16=0,0,IF(AD16=IFERROR(LARGE(AD$7:AD$126,1),0),1,0))+IF(AE16=0,0,IF(AE16=IFERROR(LARGE(AE$7:AE$126,1),0),1,0))+IF(AF16=0,0,IF(AF16=IFERROR(LARGE(AF$7:AF$126,1),0),1,0))+IF(AG16=0,0,IF(AG16=IFERROR(LARGE(AG$7:AG$126,1),0),1,0))+IF(AH16=0,0,IF(AH16=IFERROR(LARGE(AH$7:AH$126,1),0),1,0))+IF(AI16=0,0,IF(AI16=IFERROR(LARGE(AI$7:AI$126,1),0),1,0))</f>
        <v>0</v>
      </c>
      <c r="AQ16" s="233"/>
      <c r="AR16" s="233"/>
      <c r="AS16" s="233"/>
      <c r="AT16" s="234">
        <f>SMALL(AU16:BD16,AT$3)</f>
        <v>0.0009</v>
      </c>
      <c r="AU16" s="235">
        <f>IF(Z16="  ",0+MID(Z$6,FIND("V",Z$6)+1,256)/10000,Z16+MID(Z$6,FIND("V",Z$6)+1,256)/10000)</f>
        <v>2.0001</v>
      </c>
      <c r="AV16" s="235">
        <f>IF(AA16="  ",0+MID(AA$6,FIND("V",AA$6)+1,256)/10000,AA16+MID(AA$6,FIND("V",AA$6)+1,256)/10000)</f>
        <v>20.0002</v>
      </c>
      <c r="AW16" s="235">
        <f>IF(AB16="  ",0+MID(AB$6,FIND("V",AB$6)+1,256)/10000,AB16+MID(AB$6,FIND("V",AB$6)+1,256)/10000)</f>
        <v>12.0003</v>
      </c>
      <c r="AX16" s="235">
        <f>IF(AC16="  ",0+MID(AC$6,FIND("V",AC$6)+1,256)/10000,AC16+MID(AC$6,FIND("V",AC$6)+1,256)/10000)</f>
        <v>18.0004</v>
      </c>
      <c r="AY16" s="235">
        <f>IF(AD16="  ",0+MID(AD$6,FIND("V",AD$6)+1,256)/10000,AD16+MID(AD$6,FIND("V",AD$6)+1,256)/10000)</f>
        <v>10.0005</v>
      </c>
      <c r="AZ16" s="235">
        <f>IF(AE16="  ",0+MID(AE$6,FIND("V",AE$6)+1,256)/10000,AE16+MID(AE$6,FIND("V",AE$6)+1,256)/10000)</f>
        <v>2.0006</v>
      </c>
      <c r="BA16" s="235">
        <f>IF(AF16="  ",0+MID(AF$6,FIND("V",AF$6)+1,256)/10000,AF16+MID(AF$6,FIND("V",AF$6)+1,256)/10000)</f>
        <v>20.0007</v>
      </c>
      <c r="BB16" s="235">
        <f>IF(AG16="  ",0+MID(AG$6,FIND("V",AG$6)+1,256)/10000,AG16+MID(AG$6,FIND("V",AG$6)+1,256)/10000)</f>
        <v>20.0008</v>
      </c>
      <c r="BC16" s="235">
        <f>IF(AH16="  ",0+MID(AH$6,FIND("V",AH$6)+1,256)/10000,AH16+MID(AH$6,FIND("V",AH$6)+1,256)/10000)</f>
        <v>0.0009</v>
      </c>
      <c r="BD16" s="235">
        <f>IF(AI16="  ",0+MID(AI$6,FIND("V",AI$6)+1,256)/10000,AI16+MID(AI$6,FIND("V",AI$6)+1,256)/10000)</f>
        <v>0.001</v>
      </c>
      <c r="BE16" s="233"/>
      <c r="BF16" s="233"/>
      <c r="BG16" s="233"/>
      <c r="BH16" s="233"/>
      <c r="BI16" s="3">
        <f>(LARGE(Z$7:Z$126,1)-Z16)/2+1</f>
        <v>9</v>
      </c>
      <c r="BJ16" s="3">
        <f>(LARGE(AA$7:AA$126,1)-AA16)/2+1</f>
        <v>5</v>
      </c>
      <c r="BK16" s="3">
        <f>(LARGE(AB$7:AB$126,1)-AB16)/2+1</f>
        <v>8</v>
      </c>
      <c r="BL16" s="3">
        <f>(LARGE(AC$7:AC$126,1)-AC16)/2+1</f>
        <v>6</v>
      </c>
      <c r="BM16" s="3">
        <f>(LARGE(AD$7:AD$126,1)-AD16)/2+1</f>
        <v>16</v>
      </c>
      <c r="BN16" s="3">
        <f>(LARGE(AE$7:AE$126,1)-AE16)/2+1</f>
        <v>14</v>
      </c>
      <c r="BO16" s="3">
        <f>(LARGE(AF$7:AF$126,1)-AF16)/2+1</f>
        <v>5</v>
      </c>
      <c r="BP16" s="3">
        <f>(LARGE(AG$7:AG$126,1)-AG16)/2+1</f>
        <v>4</v>
      </c>
      <c r="BQ16" s="3" t="e">
        <f>(LARGE(AH$7:AH$126,1)-AH16)/2+1</f>
        <v>#NUM!</v>
      </c>
      <c r="BR16" s="3" t="e">
        <f>(LARGE(AI$7:AI$126,1)-AI16)/2+1</f>
        <v>#NUM!</v>
      </c>
    </row>
    <row r="17" spans="1:70">
      <c r="A17" s="139">
        <f>IF(R17&gt;0,IF(Q17="Viru SK",RANK(B17,B$7:B$126,1)-COUNTIF((Q$7:Q$126),"&lt;&gt;Viru SK"),""),"")</f>
        <v>8</v>
      </c>
      <c r="B17" s="140">
        <f>IF((Q17="Viru SK"),U17,U17-1000)</f>
        <v>11</v>
      </c>
      <c r="C17" s="141" t="str">
        <f>IF(R17&gt;0,IF(P17="t",RANK(D17,D$7:D$126,1)-COUNTBLANK(P$7:P$126),""),"")</f>
        <v/>
      </c>
      <c r="D17" s="142">
        <f>IF((P17="t"),U17,U17-1000)</f>
        <v>-989</v>
      </c>
      <c r="E17" s="143">
        <f>IF(R17&gt;0,IF(N17="m",RANK(F17,F$7:F$126,1)-COUNTBLANK(N$7:N$126),""),"")</f>
        <v>11</v>
      </c>
      <c r="F17" s="144">
        <f>IF((N17="m"),U17,U17-1000)</f>
        <v>11</v>
      </c>
      <c r="G17" s="145" t="str">
        <f>IF(R17&gt;0,IF(M17="n",RANK(H17,H$7:H$126,1)-COUNTBLANK(M$7:M$126),""),"")</f>
        <v/>
      </c>
      <c r="H17" s="144">
        <f>IF((M17="n"),U17,U17-1000)</f>
        <v>-989</v>
      </c>
      <c r="I17" s="160" t="str">
        <f>IF(R17&gt;0,IF(O17="j",RANK(J17,J$7:J$126,1)-COUNTBLANK(O$7:O$126),""),"")</f>
        <v/>
      </c>
      <c r="J17" s="161">
        <f>IF((O17="j"),U17,U17-1000)</f>
        <v>-989</v>
      </c>
      <c r="K17" s="162">
        <f>IF(R17&gt;0,RANK(U17,U$7:U$126,1),"")</f>
        <v>11</v>
      </c>
      <c r="L17" s="169" t="s">
        <v>207</v>
      </c>
      <c r="M17" s="170"/>
      <c r="N17" s="171" t="str">
        <f>IF(M17="","m","")</f>
        <v>m</v>
      </c>
      <c r="O17" s="172"/>
      <c r="P17" s="173"/>
      <c r="Q17" s="192" t="s">
        <v>171</v>
      </c>
      <c r="R17" s="154">
        <f>(IF(COUNT(Z17,AA17,AB17,AC17,AD17,AE17,AF17,AG17,AH17,AI17)&lt;10,SUM(Z17,AA17,AB17,AC17,AD17,AE17,AF17,AG17,AH17,AI17),SUM(LARGE((Z17,AA17,AB17,AC17,AD17,AE17,AF17,AG17,AH17,AI17),{1;2;3;4;5;6;7;8;9}))))</f>
        <v>102</v>
      </c>
      <c r="S17" s="193" t="str">
        <f>INDEX(ETAPP!B$1:B$32,MATCH(COUNTIF(BI17:BR17,1),ETAPP!A$1:A$32,0))&amp;INDEX(ETAPP!B$1:B$32,MATCH(COUNTIF(BI17:BR17,2),ETAPP!A$1:A$32,0))&amp;INDEX(ETAPP!B$1:B$32,MATCH(COUNTIF(BI17:BR17,3),ETAPP!A$1:A$32,0))&amp;INDEX(ETAPP!B$1:B$32,MATCH(COUNTIF(BI17:BR17,4),ETAPP!A$1:A$32,0))&amp;INDEX(ETAPP!B$1:B$32,MATCH(COUNTIF(BI17:BR17,5),ETAPP!A$1:A$32,0))&amp;INDEX(ETAPP!B$1:B$32,MATCH(COUNTIF(BI17:BR17,6),ETAPP!A$1:A$32,0))&amp;INDEX(ETAPP!B$1:B$32,MATCH(COUNTIF(BI17:BR17,7),ETAPP!A$1:A$32,0))&amp;INDEX(ETAPP!B$1:B$32,MATCH(COUNTIF(BI17:BR17,8),ETAPP!A$1:A$32,0))&amp;INDEX(ETAPP!B$1:B$32,MATCH(COUNTIF(BI17:BR17,9),ETAPP!A$1:A$32,0))&amp;INDEX(ETAPP!B$1:B$32,MATCH(COUNTIF(BI17:BR17,10),ETAPP!A$1:A$32,0))&amp;INDEX(ETAPP!B$1:B$32,MATCH(COUNTIF(BI17:BR17,11),ETAPP!A$1:A$32,0))&amp;INDEX(ETAPP!B$1:B$32,MATCH(COUNTIF(BI17:BR17,12),ETAPP!A$1:A$32,0))&amp;INDEX(ETAPP!B$1:B$32,MATCH(COUNTIF(BI17:BR17,13),ETAPP!A$1:A$32,0))&amp;INDEX(ETAPP!B$1:B$32,MATCH(COUNTIF(BI17:BR17,14),ETAPP!A$1:A$32,0))&amp;INDEX(ETAPP!B$1:B$32,MATCH(COUNTIF(BI17:BR17,15),ETAPP!A$1:A$32,0))&amp;INDEX(ETAPP!B$1:B$32,MATCH(COUNTIF(BI17:BR17,16),ETAPP!A$1:A$32,0))&amp;INDEX(ETAPP!B$1:B$32,MATCH(COUNTIF(BI17:BR17,17),ETAPP!A$1:A$32,0))&amp;INDEX(ETAPP!B$1:B$32,MATCH(COUNTIF(BI17:BR17,18),ETAPP!A$1:A$32,0))&amp;INDEX(ETAPP!B$1:B$32,MATCH(COUNTIF(BI17:BR17,19),ETAPP!A$1:A$32,0))&amp;INDEX(ETAPP!B$1:B$32,MATCH(COUNTIF(BI17:BR17,20),ETAPP!A$1:A$32,0))&amp;INDEX(ETAPP!B$1:B$32,MATCH(COUNTIF(BI17:BR17,21),ETAPP!A$1:A$32,0))</f>
        <v>00B0AA0A0000A0A000000</v>
      </c>
      <c r="T17" s="193" t="str">
        <f>TEXT(R17,"000,0")&amp;"-"&amp;S17</f>
        <v>102,0-00B0AA0A0000A0A000000</v>
      </c>
      <c r="U17" s="193">
        <f>COUNTIF(T$7:T$126,"&gt;="&amp;T17)</f>
        <v>11</v>
      </c>
      <c r="V17" s="193">
        <f>COUNTIF(L$7:L$126,"&gt;="&amp;L17)</f>
        <v>96</v>
      </c>
      <c r="W17" s="193" t="str">
        <f>TEXT(R17,"000,0")&amp;"-"&amp;S17&amp;"-"&amp;TEXT(V17,"000")</f>
        <v>102,0-00B0AA0A0000A0A000000-096</v>
      </c>
      <c r="X17" s="193">
        <f>COUNTIF(W$7:W$126,"&gt;="&amp;W17)</f>
        <v>11</v>
      </c>
      <c r="Y17" s="201">
        <f>RANK(X17,X$7:X$126,0)</f>
        <v>110</v>
      </c>
      <c r="Z17" s="202">
        <f>IFERROR(INDEX('V1'!C$300:C$400,MATCH("*"&amp;L17&amp;"*",'V1'!B$300:B$400,0)),"  ")</f>
        <v>8</v>
      </c>
      <c r="AA17" s="202">
        <f>IFERROR(INDEX('V2'!C$300:C$400,MATCH("*"&amp;L17&amp;"*",'V2'!B$300:B$400,0)),"  ")</f>
        <v>24</v>
      </c>
      <c r="AB17" s="202">
        <f>IFERROR(INDEX('V3'!C$300:C$400,MATCH("*"&amp;L17&amp;"*",'V3'!B$300:B$400,0)),"  ")</f>
        <v>2</v>
      </c>
      <c r="AC17" s="202">
        <f>IFERROR(INDEX('V4'!C$300:C$400,MATCH("*"&amp;L17&amp;"*",'V4'!B$300:B$400,0)),"  ")</f>
        <v>0</v>
      </c>
      <c r="AD17" s="202">
        <f>IFERROR(INDEX('V5'!C$300:C$400,MATCH("*"&amp;L17&amp;"*",'V5'!B$300:B$400,0)),"  ")</f>
        <v>32</v>
      </c>
      <c r="AE17" s="202">
        <f>IFERROR(INDEX('V6'!C$300:C$400,MATCH("*"&amp;L17&amp;"*",'V6'!B$300:B$400,0)),"  ")</f>
        <v>14</v>
      </c>
      <c r="AF17" s="202" t="str">
        <f>IFERROR(INDEX('V7'!C$300:C$400,MATCH("*"&amp;L17&amp;"*",'V7'!B$300:B$400,0)),"  ")</f>
        <v>  </v>
      </c>
      <c r="AG17" s="202">
        <f>IFERROR(INDEX('V8'!C$300:C$400,MATCH("*"&amp;L17&amp;"*",'V8'!B$300:B$400,0)),"  ")</f>
        <v>22</v>
      </c>
      <c r="AH17" s="202"/>
      <c r="AI17" s="202"/>
      <c r="AJ17" s="222">
        <f>IF(AN17&gt;(AT$2-1),K17,"")</f>
        <v>11</v>
      </c>
      <c r="AK17" s="223">
        <f>SUM(Z17:AI17)</f>
        <v>102</v>
      </c>
      <c r="AL17" s="224" t="str">
        <f>IFERROR("edasi "&amp;RANK(AJ17,AJ$7:AJ$126,1),K17)</f>
        <v>edasi 11</v>
      </c>
      <c r="AM17" s="225" t="str">
        <f>IFERROR(INDEX(#REF!,MATCH("*"&amp;L17&amp;"*",#REF!,0)),"  ")</f>
        <v>  </v>
      </c>
      <c r="AN17" s="226">
        <f>COUNTIF(Z17:AI17,"&gt;=0")</f>
        <v>7</v>
      </c>
      <c r="AO17" s="126">
        <f>IFERROR(IF(Z17+1&gt;LARGE(Z$7:Z$126,1)-2*LEN(Z$5),1),0)+IFERROR(IF(AA17+1&gt;LARGE(AA$7:AA$126,1)-2*LEN(AA$5),1),0)+IFERROR(IF(AB17+1&gt;LARGE(AB$7:AB$126,1)-2*LEN(AB$5),1),0)+IFERROR(IF(AC17+1&gt;LARGE(AC$7:AC$126,1)-2*LEN(AC$5),1),0)+IFERROR(IF(AD17+1&gt;LARGE(AD$7:AD$126,1)-2*LEN(AD$5),1),0)+IFERROR(IF(AE17+1&gt;LARGE(AE$7:AE$126,1)-2*LEN(AE$5),1),0)+IFERROR(IF(AF17+1&gt;LARGE(AF$7:AF$126,1)-2*LEN(AF$5),1),0)+IFERROR(IF(AG17+1&gt;LARGE(AG$7:AG$126,1)-2*LEN(AG$5),1),0)+IFERROR(IF(AH17+1&gt;LARGE(AH$7:AH$126,1)-2*LEN(AH$5),1),0)+IFERROR(IF(AI17+1&gt;LARGE(AI$7:AI$126,1)-2*LEN(AI$5),1),0)</f>
        <v>2</v>
      </c>
      <c r="AP17" s="126">
        <f>IF(Z17=0,0,IF(Z17=IFERROR(LARGE(Z$7:Z$126,1),0),1,0))+IF(AA17=0,0,IF(AA17=IFERROR(LARGE(AA$7:AA$126,1),0),1,0))+IF(AB17=0,0,IF(AB17=IFERROR(LARGE(AB$7:AB$126,1),0),1,0))+IF(AC17=0,0,IF(AC17=IFERROR(LARGE(AC$7:AC$126,1),0),1,0))+IF(AD17=0,0,IF(AD17=IFERROR(LARGE(AD$7:AD$126,1),0),1,0))+IF(AE17=0,0,IF(AE17=IFERROR(LARGE(AE$7:AE$126,1),0),1,0))+IF(AF17=0,0,IF(AF17=IFERROR(LARGE(AF$7:AF$126,1),0),1,0))+IF(AG17=0,0,IF(AG17=IFERROR(LARGE(AG$7:AG$126,1),0),1,0))+IF(AH17=0,0,IF(AH17=IFERROR(LARGE(AH$7:AH$126,1),0),1,0))+IF(AI17=0,0,IF(AI17=IFERROR(LARGE(AI$7:AI$126,1),0),1,0))</f>
        <v>0</v>
      </c>
      <c r="AQ17" s="233"/>
      <c r="AR17" s="233"/>
      <c r="AS17" s="233"/>
      <c r="AT17" s="234">
        <f>SMALL(AU17:BD17,AT$3)</f>
        <v>0.0004</v>
      </c>
      <c r="AU17" s="235">
        <f>IF(Z17="  ",0+MID(Z$6,FIND("V",Z$6)+1,256)/10000,Z17+MID(Z$6,FIND("V",Z$6)+1,256)/10000)</f>
        <v>8.0001</v>
      </c>
      <c r="AV17" s="235">
        <f>IF(AA17="  ",0+MID(AA$6,FIND("V",AA$6)+1,256)/10000,AA17+MID(AA$6,FIND("V",AA$6)+1,256)/10000)</f>
        <v>24.0002</v>
      </c>
      <c r="AW17" s="235">
        <f>IF(AB17="  ",0+MID(AB$6,FIND("V",AB$6)+1,256)/10000,AB17+MID(AB$6,FIND("V",AB$6)+1,256)/10000)</f>
        <v>2.0003</v>
      </c>
      <c r="AX17" s="235">
        <f>IF(AC17="  ",0+MID(AC$6,FIND("V",AC$6)+1,256)/10000,AC17+MID(AC$6,FIND("V",AC$6)+1,256)/10000)</f>
        <v>0.0004</v>
      </c>
      <c r="AY17" s="235">
        <f>IF(AD17="  ",0+MID(AD$6,FIND("V",AD$6)+1,256)/10000,AD17+MID(AD$6,FIND("V",AD$6)+1,256)/10000)</f>
        <v>32.0005</v>
      </c>
      <c r="AZ17" s="235">
        <f>IF(AE17="  ",0+MID(AE$6,FIND("V",AE$6)+1,256)/10000,AE17+MID(AE$6,FIND("V",AE$6)+1,256)/10000)</f>
        <v>14.0006</v>
      </c>
      <c r="BA17" s="235">
        <f>IF(AF17="  ",0+MID(AF$6,FIND("V",AF$6)+1,256)/10000,AF17+MID(AF$6,FIND("V",AF$6)+1,256)/10000)</f>
        <v>0.0007</v>
      </c>
      <c r="BB17" s="235">
        <f>IF(AG17="  ",0+MID(AG$6,FIND("V",AG$6)+1,256)/10000,AG17+MID(AG$6,FIND("V",AG$6)+1,256)/10000)</f>
        <v>22.0008</v>
      </c>
      <c r="BC17" s="235">
        <f>IF(AH17="  ",0+MID(AH$6,FIND("V",AH$6)+1,256)/10000,AH17+MID(AH$6,FIND("V",AH$6)+1,256)/10000)</f>
        <v>0.0009</v>
      </c>
      <c r="BD17" s="235">
        <f>IF(AI17="  ",0+MID(AI$6,FIND("V",AI$6)+1,256)/10000,AI17+MID(AI$6,FIND("V",AI$6)+1,256)/10000)</f>
        <v>0.001</v>
      </c>
      <c r="BE17" s="233"/>
      <c r="BF17" s="233"/>
      <c r="BG17" s="233"/>
      <c r="BH17" s="233"/>
      <c r="BI17" s="3">
        <f>(LARGE(Z$7:Z$126,1)-Z17)/2+1</f>
        <v>6</v>
      </c>
      <c r="BJ17" s="3">
        <f>(LARGE(AA$7:AA$126,1)-AA17)/2+1</f>
        <v>3</v>
      </c>
      <c r="BK17" s="3">
        <f>(LARGE(AB$7:AB$126,1)-AB17)/2+1</f>
        <v>13</v>
      </c>
      <c r="BL17" s="3">
        <f>(LARGE(AC$7:AC$126,1)-AC17)/2+1</f>
        <v>15</v>
      </c>
      <c r="BM17" s="3">
        <f>(LARGE(AD$7:AD$126,1)-AD17)/2+1</f>
        <v>5</v>
      </c>
      <c r="BN17" s="3">
        <f>(LARGE(AE$7:AE$126,1)-AE17)/2+1</f>
        <v>8</v>
      </c>
      <c r="BO17" s="3" t="e">
        <f>(LARGE(AF$7:AF$126,1)-AF17)/2+1</f>
        <v>#VALUE!</v>
      </c>
      <c r="BP17" s="3">
        <f>(LARGE(AG$7:AG$126,1)-AG17)/2+1</f>
        <v>3</v>
      </c>
      <c r="BQ17" s="3" t="e">
        <f>(LARGE(AH$7:AH$126,1)-AH17)/2+1</f>
        <v>#NUM!</v>
      </c>
      <c r="BR17" s="3" t="e">
        <f>(LARGE(AI$7:AI$126,1)-AI17)/2+1</f>
        <v>#NUM!</v>
      </c>
    </row>
    <row r="18" spans="1:70">
      <c r="A18" s="139">
        <f>IF(R18&gt;0,IF(Q18="Viru SK",RANK(B18,B$7:B$126,1)-COUNTIF((Q$7:Q$126),"&lt;&gt;Viru SK"),""),"")</f>
        <v>9</v>
      </c>
      <c r="B18" s="140">
        <f>IF((Q18="Viru SK"),U18,U18-1000)</f>
        <v>12</v>
      </c>
      <c r="C18" s="141">
        <f>IF(R18&gt;0,IF(P18="t",RANK(D18,D$7:D$126,1)-COUNTBLANK(P$7:P$126),""),"")</f>
        <v>3</v>
      </c>
      <c r="D18" s="142">
        <f>IF((P18="t"),U18,U18-1000)</f>
        <v>12</v>
      </c>
      <c r="E18" s="143">
        <f>IF(R18&gt;0,IF(N18="m",RANK(F18,F$7:F$126,1)-COUNTBLANK(N$7:N$126),""),"")</f>
        <v>12</v>
      </c>
      <c r="F18" s="144">
        <f>IF((N18="m"),U18,U18-1000)</f>
        <v>12</v>
      </c>
      <c r="G18" s="145" t="str">
        <f>IF(R18&gt;0,IF(M18="n",RANK(H18,H$7:H$126,1)-COUNTBLANK(M$7:M$126),""),"")</f>
        <v/>
      </c>
      <c r="H18" s="144">
        <f>IF((M18="n"),U18,U18-1000)</f>
        <v>-988</v>
      </c>
      <c r="I18" s="160" t="str">
        <f>IF(R18&gt;0,IF(O18="j",RANK(J18,J$7:J$126,1)-COUNTBLANK(O$7:O$126),""),"")</f>
        <v/>
      </c>
      <c r="J18" s="161">
        <f>IF((O18="j"),U18,U18-1000)</f>
        <v>-988</v>
      </c>
      <c r="K18" s="162">
        <f>IF(R18&gt;0,RANK(U18,U$7:U$126,1),"")</f>
        <v>12</v>
      </c>
      <c r="L18" s="168" t="s">
        <v>208</v>
      </c>
      <c r="M18" s="164"/>
      <c r="N18" s="165" t="str">
        <f>IF(M18="","m","")</f>
        <v>m</v>
      </c>
      <c r="O18" s="166"/>
      <c r="P18" s="167" t="s">
        <v>196</v>
      </c>
      <c r="Q18" s="192" t="s">
        <v>171</v>
      </c>
      <c r="R18" s="154">
        <f>(IF(COUNT(Z18,AA18,AB18,AC18,AD18,AE18,AF18,AG18,AH18,AI18)&lt;10,SUM(Z18,AA18,AB18,AC18,AD18,AE18,AF18,AG18,AH18,AI18),SUM(LARGE((Z18,AA18,AB18,AC18,AD18,AE18,AF18,AG18,AH18,AI18),{1;2;3;4;5;6;7;8;9}))))</f>
        <v>100</v>
      </c>
      <c r="S18" s="193" t="str">
        <f>INDEX(ETAPP!B$1:B$32,MATCH(COUNTIF(BI18:BR18,1),ETAPP!A$1:A$32,0))&amp;INDEX(ETAPP!B$1:B$32,MATCH(COUNTIF(BI18:BR18,2),ETAPP!A$1:A$32,0))&amp;INDEX(ETAPP!B$1:B$32,MATCH(COUNTIF(BI18:BR18,3),ETAPP!A$1:A$32,0))&amp;INDEX(ETAPP!B$1:B$32,MATCH(COUNTIF(BI18:BR18,4),ETAPP!A$1:A$32,0))&amp;INDEX(ETAPP!B$1:B$32,MATCH(COUNTIF(BI18:BR18,5),ETAPP!A$1:A$32,0))&amp;INDEX(ETAPP!B$1:B$32,MATCH(COUNTIF(BI18:BR18,6),ETAPP!A$1:A$32,0))&amp;INDEX(ETAPP!B$1:B$32,MATCH(COUNTIF(BI18:BR18,7),ETAPP!A$1:A$32,0))&amp;INDEX(ETAPP!B$1:B$32,MATCH(COUNTIF(BI18:BR18,8),ETAPP!A$1:A$32,0))&amp;INDEX(ETAPP!B$1:B$32,MATCH(COUNTIF(BI18:BR18,9),ETAPP!A$1:A$32,0))&amp;INDEX(ETAPP!B$1:B$32,MATCH(COUNTIF(BI18:BR18,10),ETAPP!A$1:A$32,0))&amp;INDEX(ETAPP!B$1:B$32,MATCH(COUNTIF(BI18:BR18,11),ETAPP!A$1:A$32,0))&amp;INDEX(ETAPP!B$1:B$32,MATCH(COUNTIF(BI18:BR18,12),ETAPP!A$1:A$32,0))&amp;INDEX(ETAPP!B$1:B$32,MATCH(COUNTIF(BI18:BR18,13),ETAPP!A$1:A$32,0))&amp;INDEX(ETAPP!B$1:B$32,MATCH(COUNTIF(BI18:BR18,14),ETAPP!A$1:A$32,0))&amp;INDEX(ETAPP!B$1:B$32,MATCH(COUNTIF(BI18:BR18,15),ETAPP!A$1:A$32,0))&amp;INDEX(ETAPP!B$1:B$32,MATCH(COUNTIF(BI18:BR18,16),ETAPP!A$1:A$32,0))&amp;INDEX(ETAPP!B$1:B$32,MATCH(COUNTIF(BI18:BR18,17),ETAPP!A$1:A$32,0))&amp;INDEX(ETAPP!B$1:B$32,MATCH(COUNTIF(BI18:BR18,18),ETAPP!A$1:A$32,0))&amp;INDEX(ETAPP!B$1:B$32,MATCH(COUNTIF(BI18:BR18,19),ETAPP!A$1:A$32,0))&amp;INDEX(ETAPP!B$1:B$32,MATCH(COUNTIF(BI18:BR18,20),ETAPP!A$1:A$32,0))&amp;INDEX(ETAPP!B$1:B$32,MATCH(COUNTIF(BI18:BR18,21),ETAPP!A$1:A$32,0))</f>
        <v>AA00A0A00000000000000</v>
      </c>
      <c r="T18" s="193" t="str">
        <f>TEXT(R18,"000,0")&amp;"-"&amp;S18</f>
        <v>100,0-AA00A0A00000000000000</v>
      </c>
      <c r="U18" s="193">
        <f>COUNTIF(T$7:T$126,"&gt;="&amp;T18)</f>
        <v>12</v>
      </c>
      <c r="V18" s="193">
        <f>COUNTIF(L$7:L$126,"&gt;="&amp;L18)</f>
        <v>13</v>
      </c>
      <c r="W18" s="193" t="str">
        <f>TEXT(R18,"000,0")&amp;"-"&amp;S18&amp;"-"&amp;TEXT(V18,"000")</f>
        <v>100,0-AA00A0A00000000000000-013</v>
      </c>
      <c r="X18" s="193">
        <f>COUNTIF(W$7:W$126,"&gt;="&amp;W18)</f>
        <v>12</v>
      </c>
      <c r="Y18" s="201">
        <f>RANK(X18,X$7:X$126,0)</f>
        <v>109</v>
      </c>
      <c r="Z18" s="202" t="str">
        <f>IFERROR(INDEX('V1'!C$300:C$400,MATCH("*"&amp;L18&amp;"*",'V1'!B$300:B$400,0)),"  ")</f>
        <v>  </v>
      </c>
      <c r="AA18" s="202" t="str">
        <f>IFERROR(INDEX('V2'!C$300:C$400,MATCH("*"&amp;L18&amp;"*",'V2'!B$300:B$400,0)),"  ")</f>
        <v>  </v>
      </c>
      <c r="AB18" s="202">
        <f>IFERROR(INDEX('V3'!C$300:C$400,MATCH("*"&amp;L18&amp;"*",'V3'!B$300:B$400,0)),"  ")</f>
        <v>18</v>
      </c>
      <c r="AC18" s="202">
        <f>IFERROR(INDEX('V4'!C$300:C$400,MATCH("*"&amp;L18&amp;"*",'V4'!B$300:B$400,0)),"  ")</f>
        <v>28</v>
      </c>
      <c r="AD18" s="202">
        <f>IFERROR(INDEX('V5'!C$300:C$400,MATCH("*"&amp;L18&amp;"*",'V5'!B$300:B$400,0)),"  ")</f>
        <v>28</v>
      </c>
      <c r="AE18" s="202">
        <f>IFERROR(INDEX('V6'!C$300:C$400,MATCH("*"&amp;L18&amp;"*",'V6'!B$300:B$400,0)),"  ")</f>
        <v>26</v>
      </c>
      <c r="AF18" s="202" t="str">
        <f>IFERROR(INDEX('V7'!C$300:C$400,MATCH("*"&amp;L18&amp;"*",'V7'!B$300:B$400,0)),"  ")</f>
        <v>  </v>
      </c>
      <c r="AG18" s="202" t="str">
        <f>IFERROR(INDEX('V8'!C$300:C$400,MATCH("*"&amp;L18&amp;"*",'V8'!B$300:B$400,0)),"  ")</f>
        <v>  </v>
      </c>
      <c r="AH18" s="202"/>
      <c r="AI18" s="202"/>
      <c r="AJ18" s="222">
        <f>IF(AN18&gt;(AT$2-1),K18,"")</f>
        <v>12</v>
      </c>
      <c r="AK18" s="223">
        <f>SUM(Z18:AI18)</f>
        <v>100</v>
      </c>
      <c r="AL18" s="224" t="str">
        <f>IFERROR("edasi "&amp;RANK(AJ18,AJ$7:AJ$126,1),K18)</f>
        <v>edasi 12</v>
      </c>
      <c r="AM18" s="225" t="str">
        <f>IFERROR(INDEX(#REF!,MATCH("*"&amp;L18&amp;"*",#REF!,0)),"  ")</f>
        <v>  </v>
      </c>
      <c r="AN18" s="226">
        <f>COUNTIF(Z18:AI18,"&gt;=0")</f>
        <v>4</v>
      </c>
      <c r="AO18" s="126">
        <f>IFERROR(IF(Z18+1&gt;LARGE(Z$7:Z$126,1)-2*LEN(Z$5),1),0)+IFERROR(IF(AA18+1&gt;LARGE(AA$7:AA$126,1)-2*LEN(AA$5),1),0)+IFERROR(IF(AB18+1&gt;LARGE(AB$7:AB$126,1)-2*LEN(AB$5),1),0)+IFERROR(IF(AC18+1&gt;LARGE(AC$7:AC$126,1)-2*LEN(AC$5),1),0)+IFERROR(IF(AD18+1&gt;LARGE(AD$7:AD$126,1)-2*LEN(AD$5),1),0)+IFERROR(IF(AE18+1&gt;LARGE(AE$7:AE$126,1)-2*LEN(AE$5),1),0)+IFERROR(IF(AF18+1&gt;LARGE(AF$7:AF$126,1)-2*LEN(AF$5),1),0)+IFERROR(IF(AG18+1&gt;LARGE(AG$7:AG$126,1)-2*LEN(AG$5),1),0)+IFERROR(IF(AH18+1&gt;LARGE(AH$7:AH$126,1)-2*LEN(AH$5),1),0)+IFERROR(IF(AI18+1&gt;LARGE(AI$7:AI$126,1)-2*LEN(AI$5),1),0)</f>
        <v>2</v>
      </c>
      <c r="AP18" s="126">
        <f>IF(Z18=0,0,IF(Z18=IFERROR(LARGE(Z$7:Z$126,1),0),1,0))+IF(AA18=0,0,IF(AA18=IFERROR(LARGE(AA$7:AA$126,1),0),1,0))+IF(AB18=0,0,IF(AB18=IFERROR(LARGE(AB$7:AB$126,1),0),1,0))+IF(AC18=0,0,IF(AC18=IFERROR(LARGE(AC$7:AC$126,1),0),1,0))+IF(AD18=0,0,IF(AD18=IFERROR(LARGE(AD$7:AD$126,1),0),1,0))+IF(AE18=0,0,IF(AE18=IFERROR(LARGE(AE$7:AE$126,1),0),1,0))+IF(AF18=0,0,IF(AF18=IFERROR(LARGE(AF$7:AF$126,1),0),1,0))+IF(AG18=0,0,IF(AG18=IFERROR(LARGE(AG$7:AG$126,1),0),1,0))+IF(AH18=0,0,IF(AH18=IFERROR(LARGE(AH$7:AH$126,1),0),1,0))+IF(AI18=0,0,IF(AI18=IFERROR(LARGE(AI$7:AI$126,1),0),1,0))</f>
        <v>1</v>
      </c>
      <c r="AQ18" s="233"/>
      <c r="AR18" s="233"/>
      <c r="AS18" s="233"/>
      <c r="AT18" s="234">
        <f>SMALL(AU18:BD18,AT$3)</f>
        <v>0.0001</v>
      </c>
      <c r="AU18" s="235">
        <f>IF(Z18="  ",0+MID(Z$6,FIND("V",Z$6)+1,256)/10000,Z18+MID(Z$6,FIND("V",Z$6)+1,256)/10000)</f>
        <v>0.0001</v>
      </c>
      <c r="AV18" s="235">
        <f>IF(AA18="  ",0+MID(AA$6,FIND("V",AA$6)+1,256)/10000,AA18+MID(AA$6,FIND("V",AA$6)+1,256)/10000)</f>
        <v>0.0002</v>
      </c>
      <c r="AW18" s="235">
        <f>IF(AB18="  ",0+MID(AB$6,FIND("V",AB$6)+1,256)/10000,AB18+MID(AB$6,FIND("V",AB$6)+1,256)/10000)</f>
        <v>18.0003</v>
      </c>
      <c r="AX18" s="235">
        <f>IF(AC18="  ",0+MID(AC$6,FIND("V",AC$6)+1,256)/10000,AC18+MID(AC$6,FIND("V",AC$6)+1,256)/10000)</f>
        <v>28.0004</v>
      </c>
      <c r="AY18" s="235">
        <f>IF(AD18="  ",0+MID(AD$6,FIND("V",AD$6)+1,256)/10000,AD18+MID(AD$6,FIND("V",AD$6)+1,256)/10000)</f>
        <v>28.0005</v>
      </c>
      <c r="AZ18" s="235">
        <f>IF(AE18="  ",0+MID(AE$6,FIND("V",AE$6)+1,256)/10000,AE18+MID(AE$6,FIND("V",AE$6)+1,256)/10000)</f>
        <v>26.0006</v>
      </c>
      <c r="BA18" s="235">
        <f>IF(AF18="  ",0+MID(AF$6,FIND("V",AF$6)+1,256)/10000,AF18+MID(AF$6,FIND("V",AF$6)+1,256)/10000)</f>
        <v>0.0007</v>
      </c>
      <c r="BB18" s="235">
        <f>IF(AG18="  ",0+MID(AG$6,FIND("V",AG$6)+1,256)/10000,AG18+MID(AG$6,FIND("V",AG$6)+1,256)/10000)</f>
        <v>0.0008</v>
      </c>
      <c r="BC18" s="235">
        <f>IF(AH18="  ",0+MID(AH$6,FIND("V",AH$6)+1,256)/10000,AH18+MID(AH$6,FIND("V",AH$6)+1,256)/10000)</f>
        <v>0.0009</v>
      </c>
      <c r="BD18" s="235">
        <f>IF(AI18="  ",0+MID(AI$6,FIND("V",AI$6)+1,256)/10000,AI18+MID(AI$6,FIND("V",AI$6)+1,256)/10000)</f>
        <v>0.001</v>
      </c>
      <c r="BE18" s="233"/>
      <c r="BF18" s="233"/>
      <c r="BG18" s="233"/>
      <c r="BH18" s="233"/>
      <c r="BI18" s="3" t="e">
        <f>(LARGE(Z$7:Z$126,1)-Z18)/2+1</f>
        <v>#VALUE!</v>
      </c>
      <c r="BJ18" s="3" t="e">
        <f>(LARGE(AA$7:AA$126,1)-AA18)/2+1</f>
        <v>#VALUE!</v>
      </c>
      <c r="BK18" s="3">
        <f>(LARGE(AB$7:AB$126,1)-AB18)/2+1</f>
        <v>5</v>
      </c>
      <c r="BL18" s="3">
        <f>(LARGE(AC$7:AC$126,1)-AC18)/2+1</f>
        <v>1</v>
      </c>
      <c r="BM18" s="3">
        <f>(LARGE(AD$7:AD$126,1)-AD18)/2+1</f>
        <v>7</v>
      </c>
      <c r="BN18" s="3">
        <f>(LARGE(AE$7:AE$126,1)-AE18)/2+1</f>
        <v>2</v>
      </c>
      <c r="BO18" s="3" t="e">
        <f>(LARGE(AF$7:AF$126,1)-AF18)/2+1</f>
        <v>#VALUE!</v>
      </c>
      <c r="BP18" s="3" t="e">
        <f>(LARGE(AG$7:AG$126,1)-AG18)/2+1</f>
        <v>#VALUE!</v>
      </c>
      <c r="BQ18" s="3" t="e">
        <f>(LARGE(AH$7:AH$126,1)-AH18)/2+1</f>
        <v>#NUM!</v>
      </c>
      <c r="BR18" s="3" t="e">
        <f>(LARGE(AI$7:AI$126,1)-AI18)/2+1</f>
        <v>#NUM!</v>
      </c>
    </row>
    <row r="19" spans="1:70">
      <c r="A19" s="139">
        <f>IF(R19&gt;0,IF(Q19="Viru SK",RANK(B19,B$7:B$126,1)-COUNTIF((Q$7:Q$126),"&lt;&gt;Viru SK"),""),"")</f>
        <v>10</v>
      </c>
      <c r="B19" s="140">
        <f>IF((Q19="Viru SK"),U19,U19-1000)</f>
        <v>13</v>
      </c>
      <c r="C19" s="141">
        <f>IF(R19&gt;0,IF(P19="t",RANK(D19,D$7:D$126,1)-COUNTBLANK(P$7:P$126),""),"")</f>
        <v>4</v>
      </c>
      <c r="D19" s="142">
        <f>IF((P19="t"),U19,U19-1000)</f>
        <v>13</v>
      </c>
      <c r="E19" s="143" t="str">
        <f>IF(R19&gt;0,IF(N19="m",RANK(F19,F$7:F$126,1)-COUNTBLANK(N$7:N$126),""),"")</f>
        <v/>
      </c>
      <c r="F19" s="144">
        <f>IF((N19="m"),U19,U19-1000)</f>
        <v>-987</v>
      </c>
      <c r="G19" s="145">
        <f>IF(R19&gt;0,IF(M19="n",RANK(H19,H$7:H$126,1)-COUNTBLANK(M$7:M$126),""),"")</f>
        <v>2</v>
      </c>
      <c r="H19" s="144">
        <f>IF((M19="n"),U19,U19-1000)</f>
        <v>13</v>
      </c>
      <c r="I19" s="160" t="str">
        <f>IF(R19&gt;0,IF(O19="j",RANK(J19,J$7:J$126,1)-COUNTBLANK(O$7:O$126),""),"")</f>
        <v/>
      </c>
      <c r="J19" s="161">
        <f>IF((O19="j"),U19,U19-1000)</f>
        <v>-987</v>
      </c>
      <c r="K19" s="162">
        <f>IF(R19&gt;0,RANK(U19,U$7:U$126,1),"")</f>
        <v>13</v>
      </c>
      <c r="L19" s="163" t="s">
        <v>209</v>
      </c>
      <c r="M19" s="164" t="s">
        <v>203</v>
      </c>
      <c r="N19" s="165"/>
      <c r="O19" s="166"/>
      <c r="P19" s="167" t="s">
        <v>196</v>
      </c>
      <c r="Q19" s="192" t="s">
        <v>171</v>
      </c>
      <c r="R19" s="154">
        <f>(IF(COUNT(Z19,AA19,AB19,AC19,AD19,AE19,AF19,AG19,AH19,AI19)&lt;10,SUM(Z19,AA19,AB19,AC19,AD19,AE19,AF19,AG19,AH19,AI19),SUM(LARGE((Z19,AA19,AB19,AC19,AD19,AE19,AF19,AG19,AH19,AI19),{1;2;3;4;5;6;7;8;9}))))</f>
        <v>98</v>
      </c>
      <c r="S19" s="193" t="str">
        <f>INDEX(ETAPP!B$1:B$32,MATCH(COUNTIF(BI19:BR19,1),ETAPP!A$1:A$32,0))&amp;INDEX(ETAPP!B$1:B$32,MATCH(COUNTIF(BI19:BR19,2),ETAPP!A$1:A$32,0))&amp;INDEX(ETAPP!B$1:B$32,MATCH(COUNTIF(BI19:BR19,3),ETAPP!A$1:A$32,0))&amp;INDEX(ETAPP!B$1:B$32,MATCH(COUNTIF(BI19:BR19,4),ETAPP!A$1:A$32,0))&amp;INDEX(ETAPP!B$1:B$32,MATCH(COUNTIF(BI19:BR19,5),ETAPP!A$1:A$32,0))&amp;INDEX(ETAPP!B$1:B$32,MATCH(COUNTIF(BI19:BR19,6),ETAPP!A$1:A$32,0))&amp;INDEX(ETAPP!B$1:B$32,MATCH(COUNTIF(BI19:BR19,7),ETAPP!A$1:A$32,0))&amp;INDEX(ETAPP!B$1:B$32,MATCH(COUNTIF(BI19:BR19,8),ETAPP!A$1:A$32,0))&amp;INDEX(ETAPP!B$1:B$32,MATCH(COUNTIF(BI19:BR19,9),ETAPP!A$1:A$32,0))&amp;INDEX(ETAPP!B$1:B$32,MATCH(COUNTIF(BI19:BR19,10),ETAPP!A$1:A$32,0))&amp;INDEX(ETAPP!B$1:B$32,MATCH(COUNTIF(BI19:BR19,11),ETAPP!A$1:A$32,0))&amp;INDEX(ETAPP!B$1:B$32,MATCH(COUNTIF(BI19:BR19,12),ETAPP!A$1:A$32,0))&amp;INDEX(ETAPP!B$1:B$32,MATCH(COUNTIF(BI19:BR19,13),ETAPP!A$1:A$32,0))&amp;INDEX(ETAPP!B$1:B$32,MATCH(COUNTIF(BI19:BR19,14),ETAPP!A$1:A$32,0))&amp;INDEX(ETAPP!B$1:B$32,MATCH(COUNTIF(BI19:BR19,15),ETAPP!A$1:A$32,0))&amp;INDEX(ETAPP!B$1:B$32,MATCH(COUNTIF(BI19:BR19,16),ETAPP!A$1:A$32,0))&amp;INDEX(ETAPP!B$1:B$32,MATCH(COUNTIF(BI19:BR19,17),ETAPP!A$1:A$32,0))&amp;INDEX(ETAPP!B$1:B$32,MATCH(COUNTIF(BI19:BR19,18),ETAPP!A$1:A$32,0))&amp;INDEX(ETAPP!B$1:B$32,MATCH(COUNTIF(BI19:BR19,19),ETAPP!A$1:A$32,0))&amp;INDEX(ETAPP!B$1:B$32,MATCH(COUNTIF(BI19:BR19,20),ETAPP!A$1:A$32,0))&amp;INDEX(ETAPP!B$1:B$32,MATCH(COUNTIF(BI19:BR19,21),ETAPP!A$1:A$32,0))</f>
        <v>0AA0A00000B00A0000000</v>
      </c>
      <c r="T19" s="193" t="str">
        <f>TEXT(R19,"000,0")&amp;"-"&amp;S19</f>
        <v>098,0-0AA0A00000B00A0000000</v>
      </c>
      <c r="U19" s="193">
        <f>COUNTIF(T$7:T$126,"&gt;="&amp;T19)</f>
        <v>13</v>
      </c>
      <c r="V19" s="193">
        <f>COUNTIF(L$7:L$126,"&gt;="&amp;L19)</f>
        <v>25</v>
      </c>
      <c r="W19" s="193" t="str">
        <f>TEXT(R19,"000,0")&amp;"-"&amp;S19&amp;"-"&amp;TEXT(V19,"000")</f>
        <v>098,0-0AA0A00000B00A0000000-025</v>
      </c>
      <c r="X19" s="193">
        <f>COUNTIF(W$7:W$126,"&gt;="&amp;W19)</f>
        <v>13</v>
      </c>
      <c r="Y19" s="201">
        <f>RANK(X19,X$7:X$126,0)</f>
        <v>108</v>
      </c>
      <c r="Z19" s="202" t="str">
        <f>IFERROR(INDEX('V1'!C$300:C$400,MATCH("*"&amp;L19&amp;"*",'V1'!B$300:B$400,0)),"  ")</f>
        <v>  </v>
      </c>
      <c r="AA19" s="202">
        <f>IFERROR(INDEX('V2'!C$300:C$400,MATCH("*"&amp;L19&amp;"*",'V2'!B$300:B$400,0)),"  ")</f>
        <v>20</v>
      </c>
      <c r="AB19" s="202" t="str">
        <f>IFERROR(INDEX('V3'!C$300:C$400,MATCH("*"&amp;L19&amp;"*",'V3'!B$300:B$400,0)),"  ")</f>
        <v>  </v>
      </c>
      <c r="AC19" s="202">
        <f>IFERROR(INDEX('V4'!C$300:C$400,MATCH("*"&amp;L19&amp;"*",'V4'!B$300:B$400,0)),"  ")</f>
        <v>26</v>
      </c>
      <c r="AD19" s="202">
        <f>IFERROR(INDEX('V5'!C$300:C$400,MATCH("*"&amp;L19&amp;"*",'V5'!B$300:B$400,0)),"  ")</f>
        <v>14</v>
      </c>
      <c r="AE19" s="202">
        <f>IFERROR(INDEX('V6'!C$300:C$400,MATCH("*"&amp;L19&amp;"*",'V6'!B$300:B$400,0)),"  ")</f>
        <v>8</v>
      </c>
      <c r="AF19" s="202">
        <f>IFERROR(INDEX('V7'!C$300:C$400,MATCH("*"&amp;L19&amp;"*",'V7'!B$300:B$400,0)),"  ")</f>
        <v>24</v>
      </c>
      <c r="AG19" s="202">
        <f>IFERROR(INDEX('V8'!C$300:C$400,MATCH("*"&amp;L19&amp;"*",'V8'!B$300:B$400,0)),"  ")</f>
        <v>6</v>
      </c>
      <c r="AH19" s="202"/>
      <c r="AI19" s="202"/>
      <c r="AJ19" s="222">
        <f>IF(AN19&gt;(AT$2-1),K19,"")</f>
        <v>13</v>
      </c>
      <c r="AK19" s="223">
        <f>SUM(Z19:AI19)</f>
        <v>98</v>
      </c>
      <c r="AL19" s="224" t="str">
        <f>IFERROR("edasi "&amp;RANK(AJ19,AJ$7:AJ$126,1),K19)</f>
        <v>edasi 13</v>
      </c>
      <c r="AM19" s="225" t="str">
        <f>IFERROR(INDEX(#REF!,MATCH("*"&amp;L19&amp;"*",#REF!,0)),"  ")</f>
        <v>  </v>
      </c>
      <c r="AN19" s="226">
        <f>COUNTIF(Z19:AI19,"&gt;=0")</f>
        <v>6</v>
      </c>
      <c r="AO19" s="126">
        <f>IFERROR(IF(Z19+1&gt;LARGE(Z$7:Z$126,1)-2*LEN(Z$5),1),0)+IFERROR(IF(AA19+1&gt;LARGE(AA$7:AA$126,1)-2*LEN(AA$5),1),0)+IFERROR(IF(AB19+1&gt;LARGE(AB$7:AB$126,1)-2*LEN(AB$5),1),0)+IFERROR(IF(AC19+1&gt;LARGE(AC$7:AC$126,1)-2*LEN(AC$5),1),0)+IFERROR(IF(AD19+1&gt;LARGE(AD$7:AD$126,1)-2*LEN(AD$5),1),0)+IFERROR(IF(AE19+1&gt;LARGE(AE$7:AE$126,1)-2*LEN(AE$5),1),0)+IFERROR(IF(AF19+1&gt;LARGE(AF$7:AF$126,1)-2*LEN(AF$5),1),0)+IFERROR(IF(AG19+1&gt;LARGE(AG$7:AG$126,1)-2*LEN(AG$5),1),0)+IFERROR(IF(AH19+1&gt;LARGE(AH$7:AH$126,1)-2*LEN(AH$5),1),0)+IFERROR(IF(AI19+1&gt;LARGE(AI$7:AI$126,1)-2*LEN(AI$5),1),0)</f>
        <v>2</v>
      </c>
      <c r="AP19" s="126">
        <f>IF(Z19=0,0,IF(Z19=IFERROR(LARGE(Z$7:Z$126,1),0),1,0))+IF(AA19=0,0,IF(AA19=IFERROR(LARGE(AA$7:AA$126,1),0),1,0))+IF(AB19=0,0,IF(AB19=IFERROR(LARGE(AB$7:AB$126,1),0),1,0))+IF(AC19=0,0,IF(AC19=IFERROR(LARGE(AC$7:AC$126,1),0),1,0))+IF(AD19=0,0,IF(AD19=IFERROR(LARGE(AD$7:AD$126,1),0),1,0))+IF(AE19=0,0,IF(AE19=IFERROR(LARGE(AE$7:AE$126,1),0),1,0))+IF(AF19=0,0,IF(AF19=IFERROR(LARGE(AF$7:AF$126,1),0),1,0))+IF(AG19=0,0,IF(AG19=IFERROR(LARGE(AG$7:AG$126,1),0),1,0))+IF(AH19=0,0,IF(AH19=IFERROR(LARGE(AH$7:AH$126,1),0),1,0))+IF(AI19=0,0,IF(AI19=IFERROR(LARGE(AI$7:AI$126,1),0),1,0))</f>
        <v>0</v>
      </c>
      <c r="AQ19" s="233"/>
      <c r="AR19" s="233"/>
      <c r="AS19" s="233"/>
      <c r="AT19" s="234">
        <f>SMALL(AU19:BD19,AT$3)</f>
        <v>0.0001</v>
      </c>
      <c r="AU19" s="235">
        <f>IF(Z19="  ",0+MID(Z$6,FIND("V",Z$6)+1,256)/10000,Z19+MID(Z$6,FIND("V",Z$6)+1,256)/10000)</f>
        <v>0.0001</v>
      </c>
      <c r="AV19" s="235">
        <f>IF(AA19="  ",0+MID(AA$6,FIND("V",AA$6)+1,256)/10000,AA19+MID(AA$6,FIND("V",AA$6)+1,256)/10000)</f>
        <v>20.0002</v>
      </c>
      <c r="AW19" s="235">
        <f>IF(AB19="  ",0+MID(AB$6,FIND("V",AB$6)+1,256)/10000,AB19+MID(AB$6,FIND("V",AB$6)+1,256)/10000)</f>
        <v>0.0003</v>
      </c>
      <c r="AX19" s="235">
        <f>IF(AC19="  ",0+MID(AC$6,FIND("V",AC$6)+1,256)/10000,AC19+MID(AC$6,FIND("V",AC$6)+1,256)/10000)</f>
        <v>26.0004</v>
      </c>
      <c r="AY19" s="235">
        <f>IF(AD19="  ",0+MID(AD$6,FIND("V",AD$6)+1,256)/10000,AD19+MID(AD$6,FIND("V",AD$6)+1,256)/10000)</f>
        <v>14.0005</v>
      </c>
      <c r="AZ19" s="235">
        <f>IF(AE19="  ",0+MID(AE$6,FIND("V",AE$6)+1,256)/10000,AE19+MID(AE$6,FIND("V",AE$6)+1,256)/10000)</f>
        <v>8.0006</v>
      </c>
      <c r="BA19" s="235">
        <f>IF(AF19="  ",0+MID(AF$6,FIND("V",AF$6)+1,256)/10000,AF19+MID(AF$6,FIND("V",AF$6)+1,256)/10000)</f>
        <v>24.0007</v>
      </c>
      <c r="BB19" s="235">
        <f>IF(AG19="  ",0+MID(AG$6,FIND("V",AG$6)+1,256)/10000,AG19+MID(AG$6,FIND("V",AG$6)+1,256)/10000)</f>
        <v>6.0008</v>
      </c>
      <c r="BC19" s="235">
        <f>IF(AH19="  ",0+MID(AH$6,FIND("V",AH$6)+1,256)/10000,AH19+MID(AH$6,FIND("V",AH$6)+1,256)/10000)</f>
        <v>0.0009</v>
      </c>
      <c r="BD19" s="235">
        <f>IF(AI19="  ",0+MID(AI$6,FIND("V",AI$6)+1,256)/10000,AI19+MID(AI$6,FIND("V",AI$6)+1,256)/10000)</f>
        <v>0.001</v>
      </c>
      <c r="BE19" s="233"/>
      <c r="BF19" s="233"/>
      <c r="BG19" s="233"/>
      <c r="BH19" s="233"/>
      <c r="BI19" s="3" t="e">
        <f>(LARGE(Z$7:Z$126,1)-Z19)/2+1</f>
        <v>#VALUE!</v>
      </c>
      <c r="BJ19" s="3">
        <f>(LARGE(AA$7:AA$126,1)-AA19)/2+1</f>
        <v>5</v>
      </c>
      <c r="BK19" s="3" t="e">
        <f>(LARGE(AB$7:AB$126,1)-AB19)/2+1</f>
        <v>#VALUE!</v>
      </c>
      <c r="BL19" s="3">
        <f>(LARGE(AC$7:AC$126,1)-AC19)/2+1</f>
        <v>2</v>
      </c>
      <c r="BM19" s="3">
        <f>(LARGE(AD$7:AD$126,1)-AD19)/2+1</f>
        <v>14</v>
      </c>
      <c r="BN19" s="3">
        <f>(LARGE(AE$7:AE$126,1)-AE19)/2+1</f>
        <v>11</v>
      </c>
      <c r="BO19" s="3">
        <f>(LARGE(AF$7:AF$126,1)-AF19)/2+1</f>
        <v>3</v>
      </c>
      <c r="BP19" s="3">
        <f>(LARGE(AG$7:AG$126,1)-AG19)/2+1</f>
        <v>11</v>
      </c>
      <c r="BQ19" s="3" t="e">
        <f>(LARGE(AH$7:AH$126,1)-AH19)/2+1</f>
        <v>#NUM!</v>
      </c>
      <c r="BR19" s="3" t="e">
        <f>(LARGE(AI$7:AI$126,1)-AI19)/2+1</f>
        <v>#NUM!</v>
      </c>
    </row>
    <row r="20" spans="1:70">
      <c r="A20" s="139" t="str">
        <f>IF(R20&gt;0,IF(Q20="Viru SK",RANK(B20,B$7:B$126,1)-COUNTIF((Q$7:Q$126),"&lt;&gt;Viru SK"),""),"")</f>
        <v/>
      </c>
      <c r="B20" s="140">
        <f>IF((Q20="Viru SK"),U20,U20-1000)</f>
        <v>-986</v>
      </c>
      <c r="C20" s="141">
        <f>IF(R20&gt;0,IF(P20="t",RANK(D20,D$7:D$126,1)-COUNTBLANK(P$7:P$126),""),"")</f>
        <v>5</v>
      </c>
      <c r="D20" s="142">
        <f>IF((P20="t"),U20,U20-1000)</f>
        <v>14</v>
      </c>
      <c r="E20" s="143">
        <f>IF(R20&gt;0,IF(N20="m",RANK(F20,F$7:F$126,1)-COUNTBLANK(N$7:N$126),""),"")</f>
        <v>13</v>
      </c>
      <c r="F20" s="144">
        <f>IF((N20="m"),U20,U20-1000)</f>
        <v>14</v>
      </c>
      <c r="G20" s="145" t="str">
        <f>IF(R20&gt;0,IF(M20="n",RANK(H20,H$7:H$126,1)-COUNTBLANK(M$7:M$126),""),"")</f>
        <v/>
      </c>
      <c r="H20" s="144">
        <f>IF((M20="n"),U20,U20-1000)</f>
        <v>-986</v>
      </c>
      <c r="I20" s="160" t="str">
        <f>IF(R20&gt;0,IF(O20="j",RANK(J20,J$7:J$126,1)-COUNTBLANK(O$7:O$126),""),"")</f>
        <v/>
      </c>
      <c r="J20" s="161">
        <f>IF((O20="j"),U20,U20-1000)</f>
        <v>-986</v>
      </c>
      <c r="K20" s="162">
        <f>IF(R20&gt;0,RANK(U20,U$7:U$126,1),"")</f>
        <v>14</v>
      </c>
      <c r="L20" s="174" t="s">
        <v>210</v>
      </c>
      <c r="M20" s="164"/>
      <c r="N20" s="165" t="s">
        <v>193</v>
      </c>
      <c r="O20" s="166"/>
      <c r="P20" s="167" t="s">
        <v>196</v>
      </c>
      <c r="Q20" s="192" t="s">
        <v>211</v>
      </c>
      <c r="R20" s="154">
        <f>(IF(COUNT(Z20,AA20,AB20,AC20,AD20,AE20,AF20,AG20,AH20,AI20)&lt;10,SUM(Z20,AA20,AB20,AC20,AD20,AE20,AF20,AG20,AH20,AI20),SUM(LARGE((Z20,AA20,AB20,AC20,AD20,AE20,AF20,AG20,AH20,AI20),{1;2;3;4;5;6;7;8;9}))))</f>
        <v>98</v>
      </c>
      <c r="S20" s="193" t="str">
        <f>INDEX(ETAPP!B$1:B$32,MATCH(COUNTIF(BI20:BR20,1),ETAPP!A$1:A$32,0))&amp;INDEX(ETAPP!B$1:B$32,MATCH(COUNTIF(BI20:BR20,2),ETAPP!A$1:A$32,0))&amp;INDEX(ETAPP!B$1:B$32,MATCH(COUNTIF(BI20:BR20,3),ETAPP!A$1:A$32,0))&amp;INDEX(ETAPP!B$1:B$32,MATCH(COUNTIF(BI20:BR20,4),ETAPP!A$1:A$32,0))&amp;INDEX(ETAPP!B$1:B$32,MATCH(COUNTIF(BI20:BR20,5),ETAPP!A$1:A$32,0))&amp;INDEX(ETAPP!B$1:B$32,MATCH(COUNTIF(BI20:BR20,6),ETAPP!A$1:A$32,0))&amp;INDEX(ETAPP!B$1:B$32,MATCH(COUNTIF(BI20:BR20,7),ETAPP!A$1:A$32,0))&amp;INDEX(ETAPP!B$1:B$32,MATCH(COUNTIF(BI20:BR20,8),ETAPP!A$1:A$32,0))&amp;INDEX(ETAPP!B$1:B$32,MATCH(COUNTIF(BI20:BR20,9),ETAPP!A$1:A$32,0))&amp;INDEX(ETAPP!B$1:B$32,MATCH(COUNTIF(BI20:BR20,10),ETAPP!A$1:A$32,0))&amp;INDEX(ETAPP!B$1:B$32,MATCH(COUNTIF(BI20:BR20,11),ETAPP!A$1:A$32,0))&amp;INDEX(ETAPP!B$1:B$32,MATCH(COUNTIF(BI20:BR20,12),ETAPP!A$1:A$32,0))&amp;INDEX(ETAPP!B$1:B$32,MATCH(COUNTIF(BI20:BR20,13),ETAPP!A$1:A$32,0))&amp;INDEX(ETAPP!B$1:B$32,MATCH(COUNTIF(BI20:BR20,14),ETAPP!A$1:A$32,0))&amp;INDEX(ETAPP!B$1:B$32,MATCH(COUNTIF(BI20:BR20,15),ETAPP!A$1:A$32,0))&amp;INDEX(ETAPP!B$1:B$32,MATCH(COUNTIF(BI20:BR20,16),ETAPP!A$1:A$32,0))&amp;INDEX(ETAPP!B$1:B$32,MATCH(COUNTIF(BI20:BR20,17),ETAPP!A$1:A$32,0))&amp;INDEX(ETAPP!B$1:B$32,MATCH(COUNTIF(BI20:BR20,18),ETAPP!A$1:A$32,0))&amp;INDEX(ETAPP!B$1:B$32,MATCH(COUNTIF(BI20:BR20,19),ETAPP!A$1:A$32,0))&amp;INDEX(ETAPP!B$1:B$32,MATCH(COUNTIF(BI20:BR20,20),ETAPP!A$1:A$32,0))&amp;INDEX(ETAPP!B$1:B$32,MATCH(COUNTIF(BI20:BR20,21),ETAPP!A$1:A$32,0))</f>
        <v>0000BAA0A00AB00000000</v>
      </c>
      <c r="T20" s="193" t="str">
        <f>TEXT(R20,"000,0")&amp;"-"&amp;S20</f>
        <v>098,0-0000BAA0A00AB00000000</v>
      </c>
      <c r="U20" s="193">
        <f>COUNTIF(T$7:T$126,"&gt;="&amp;T20)</f>
        <v>14</v>
      </c>
      <c r="V20" s="193">
        <f>COUNTIF(L$7:L$126,"&gt;="&amp;L20)</f>
        <v>57</v>
      </c>
      <c r="W20" s="193" t="str">
        <f>TEXT(R20,"000,0")&amp;"-"&amp;S20&amp;"-"&amp;TEXT(V20,"000")</f>
        <v>098,0-0000BAA0A00AB00000000-057</v>
      </c>
      <c r="X20" s="193">
        <f>COUNTIF(W$7:W$126,"&gt;="&amp;W20)</f>
        <v>14</v>
      </c>
      <c r="Y20" s="201">
        <f>RANK(X20,X$7:X$126,0)</f>
        <v>107</v>
      </c>
      <c r="Z20" s="202">
        <f>IFERROR(INDEX('V1'!C$300:C$400,MATCH("*"&amp;L20&amp;"*",'V1'!B$300:B$400,0)),"  ")</f>
        <v>10</v>
      </c>
      <c r="AA20" s="202">
        <f>IFERROR(INDEX('V2'!C$300:C$400,MATCH("*"&amp;L20&amp;"*",'V2'!B$300:B$400,0)),"  ")</f>
        <v>4</v>
      </c>
      <c r="AB20" s="202">
        <f>IFERROR(INDEX('V3'!C$300:C$400,MATCH("*"&amp;L20&amp;"*",'V3'!B$300:B$400,0)),"  ")</f>
        <v>14</v>
      </c>
      <c r="AC20" s="202">
        <f>IFERROR(INDEX('V4'!C$300:C$400,MATCH("*"&amp;L20&amp;"*",'V4'!B$300:B$400,0)),"  ")</f>
        <v>20</v>
      </c>
      <c r="AD20" s="202">
        <f>IFERROR(INDEX('V5'!C$300:C$400,MATCH("*"&amp;L20&amp;"*",'V5'!B$300:B$400,0)),"  ")</f>
        <v>16</v>
      </c>
      <c r="AE20" s="202">
        <f>IFERROR(INDEX('V6'!C$300:C$400,MATCH("*"&amp;L20&amp;"*",'V6'!B$300:B$400,0)),"  ")</f>
        <v>6</v>
      </c>
      <c r="AF20" s="202">
        <f>IFERROR(INDEX('V7'!C$300:C$400,MATCH("*"&amp;L20&amp;"*",'V7'!B$300:B$400,0)),"  ")</f>
        <v>18</v>
      </c>
      <c r="AG20" s="202">
        <f>IFERROR(INDEX('V8'!C$300:C$400,MATCH("*"&amp;L20&amp;"*",'V8'!B$300:B$400,0)),"  ")</f>
        <v>10</v>
      </c>
      <c r="AH20" s="202"/>
      <c r="AI20" s="202"/>
      <c r="AJ20" s="222">
        <f>IF(AN20&gt;(AT$2-1),K20,"")</f>
        <v>14</v>
      </c>
      <c r="AK20" s="223">
        <f>SUM(Z20:AI20)</f>
        <v>98</v>
      </c>
      <c r="AL20" s="224" t="str">
        <f>IFERROR("edasi "&amp;RANK(AJ20,AJ$7:AJ$126,1),K20)</f>
        <v>edasi 14</v>
      </c>
      <c r="AM20" s="225" t="str">
        <f>IFERROR(INDEX(#REF!,MATCH("*"&amp;L20&amp;"*",#REF!,0)),"  ")</f>
        <v>  </v>
      </c>
      <c r="AN20" s="226">
        <f>COUNTIF(Z20:AI20,"&gt;=0")</f>
        <v>8</v>
      </c>
      <c r="AO20" s="126">
        <f>IFERROR(IF(Z20+1&gt;LARGE(Z$7:Z$126,1)-2*LEN(Z$5),1),0)+IFERROR(IF(AA20+1&gt;LARGE(AA$7:AA$126,1)-2*LEN(AA$5),1),0)+IFERROR(IF(AB20+1&gt;LARGE(AB$7:AB$126,1)-2*LEN(AB$5),1),0)+IFERROR(IF(AC20+1&gt;LARGE(AC$7:AC$126,1)-2*LEN(AC$5),1),0)+IFERROR(IF(AD20+1&gt;LARGE(AD$7:AD$126,1)-2*LEN(AD$5),1),0)+IFERROR(IF(AE20+1&gt;LARGE(AE$7:AE$126,1)-2*LEN(AE$5),1),0)+IFERROR(IF(AF20+1&gt;LARGE(AF$7:AF$126,1)-2*LEN(AF$5),1),0)+IFERROR(IF(AG20+1&gt;LARGE(AG$7:AG$126,1)-2*LEN(AG$5),1),0)+IFERROR(IF(AH20+1&gt;LARGE(AH$7:AH$126,1)-2*LEN(AH$5),1),0)+IFERROR(IF(AI20+1&gt;LARGE(AI$7:AI$126,1)-2*LEN(AI$5),1),0)</f>
        <v>0</v>
      </c>
      <c r="AP20" s="126">
        <f>IF(Z20=0,0,IF(Z20=IFERROR(LARGE(Z$7:Z$126,1),0),1,0))+IF(AA20=0,0,IF(AA20=IFERROR(LARGE(AA$7:AA$126,1),0),1,0))+IF(AB20=0,0,IF(AB20=IFERROR(LARGE(AB$7:AB$126,1),0),1,0))+IF(AC20=0,0,IF(AC20=IFERROR(LARGE(AC$7:AC$126,1),0),1,0))+IF(AD20=0,0,IF(AD20=IFERROR(LARGE(AD$7:AD$126,1),0),1,0))+IF(AE20=0,0,IF(AE20=IFERROR(LARGE(AE$7:AE$126,1),0),1,0))+IF(AF20=0,0,IF(AF20=IFERROR(LARGE(AF$7:AF$126,1),0),1,0))+IF(AG20=0,0,IF(AG20=IFERROR(LARGE(AG$7:AG$126,1),0),1,0))+IF(AH20=0,0,IF(AH20=IFERROR(LARGE(AH$7:AH$126,1),0),1,0))+IF(AI20=0,0,IF(AI20=IFERROR(LARGE(AI$7:AI$126,1),0),1,0))</f>
        <v>0</v>
      </c>
      <c r="AQ20" s="233"/>
      <c r="AR20" s="233"/>
      <c r="AS20" s="233"/>
      <c r="AT20" s="234">
        <f>SMALL(AU20:BD20,AT$3)</f>
        <v>0.0009</v>
      </c>
      <c r="AU20" s="235">
        <f>IF(Z20="  ",0+MID(Z$6,FIND("V",Z$6)+1,256)/10000,Z20+MID(Z$6,FIND("V",Z$6)+1,256)/10000)</f>
        <v>10.0001</v>
      </c>
      <c r="AV20" s="235">
        <f>IF(AA20="  ",0+MID(AA$6,FIND("V",AA$6)+1,256)/10000,AA20+MID(AA$6,FIND("V",AA$6)+1,256)/10000)</f>
        <v>4.0002</v>
      </c>
      <c r="AW20" s="235">
        <f>IF(AB20="  ",0+MID(AB$6,FIND("V",AB$6)+1,256)/10000,AB20+MID(AB$6,FIND("V",AB$6)+1,256)/10000)</f>
        <v>14.0003</v>
      </c>
      <c r="AX20" s="235">
        <f>IF(AC20="  ",0+MID(AC$6,FIND("V",AC$6)+1,256)/10000,AC20+MID(AC$6,FIND("V",AC$6)+1,256)/10000)</f>
        <v>20.0004</v>
      </c>
      <c r="AY20" s="235">
        <f>IF(AD20="  ",0+MID(AD$6,FIND("V",AD$6)+1,256)/10000,AD20+MID(AD$6,FIND("V",AD$6)+1,256)/10000)</f>
        <v>16.0005</v>
      </c>
      <c r="AZ20" s="235">
        <f>IF(AE20="  ",0+MID(AE$6,FIND("V",AE$6)+1,256)/10000,AE20+MID(AE$6,FIND("V",AE$6)+1,256)/10000)</f>
        <v>6.0006</v>
      </c>
      <c r="BA20" s="235">
        <f>IF(AF20="  ",0+MID(AF$6,FIND("V",AF$6)+1,256)/10000,AF20+MID(AF$6,FIND("V",AF$6)+1,256)/10000)</f>
        <v>18.0007</v>
      </c>
      <c r="BB20" s="235">
        <f>IF(AG20="  ",0+MID(AG$6,FIND("V",AG$6)+1,256)/10000,AG20+MID(AG$6,FIND("V",AG$6)+1,256)/10000)</f>
        <v>10.0008</v>
      </c>
      <c r="BC20" s="235">
        <f>IF(AH20="  ",0+MID(AH$6,FIND("V",AH$6)+1,256)/10000,AH20+MID(AH$6,FIND("V",AH$6)+1,256)/10000)</f>
        <v>0.0009</v>
      </c>
      <c r="BD20" s="235">
        <f>IF(AI20="  ",0+MID(AI$6,FIND("V",AI$6)+1,256)/10000,AI20+MID(AI$6,FIND("V",AI$6)+1,256)/10000)</f>
        <v>0.001</v>
      </c>
      <c r="BE20" s="233"/>
      <c r="BF20" s="233"/>
      <c r="BG20" s="233"/>
      <c r="BH20" s="233"/>
      <c r="BI20" s="3">
        <f>(LARGE(Z$7:Z$126,1)-Z20)/2+1</f>
        <v>5</v>
      </c>
      <c r="BJ20" s="3">
        <f>(LARGE(AA$7:AA$126,1)-AA20)/2+1</f>
        <v>13</v>
      </c>
      <c r="BK20" s="3">
        <f>(LARGE(AB$7:AB$126,1)-AB20)/2+1</f>
        <v>7</v>
      </c>
      <c r="BL20" s="3">
        <f>(LARGE(AC$7:AC$126,1)-AC20)/2+1</f>
        <v>5</v>
      </c>
      <c r="BM20" s="3">
        <f>(LARGE(AD$7:AD$126,1)-AD20)/2+1</f>
        <v>13</v>
      </c>
      <c r="BN20" s="3">
        <f>(LARGE(AE$7:AE$126,1)-AE20)/2+1</f>
        <v>12</v>
      </c>
      <c r="BO20" s="3">
        <f>(LARGE(AF$7:AF$126,1)-AF20)/2+1</f>
        <v>6</v>
      </c>
      <c r="BP20" s="3">
        <f>(LARGE(AG$7:AG$126,1)-AG20)/2+1</f>
        <v>9</v>
      </c>
      <c r="BQ20" s="3" t="e">
        <f>(LARGE(AH$7:AH$126,1)-AH20)/2+1</f>
        <v>#NUM!</v>
      </c>
      <c r="BR20" s="3" t="e">
        <f>(LARGE(AI$7:AI$126,1)-AI20)/2+1</f>
        <v>#NUM!</v>
      </c>
    </row>
    <row r="21" spans="1:70">
      <c r="A21" s="139">
        <f>IF(R21&gt;0,IF(Q21="Viru SK",RANK(B21,B$7:B$126,1)-COUNTIF((Q$7:Q$126),"&lt;&gt;Viru SK"),""),"")</f>
        <v>11</v>
      </c>
      <c r="B21" s="140">
        <f>IF((Q21="Viru SK"),U21,U21-1000)</f>
        <v>15</v>
      </c>
      <c r="C21" s="141" t="str">
        <f>IF(R21&gt;0,IF(P21="t",RANK(D21,D$7:D$126,1)-COUNTBLANK(P$7:P$126),""),"")</f>
        <v/>
      </c>
      <c r="D21" s="142">
        <f>IF((P21="t"),U21,U21-1000)</f>
        <v>-985</v>
      </c>
      <c r="E21" s="143">
        <f>IF(R21&gt;0,IF(N21="m",RANK(F21,F$7:F$126,1)-COUNTBLANK(N$7:N$126),""),"")</f>
        <v>14</v>
      </c>
      <c r="F21" s="144">
        <f>IF((N21="m"),U21,U21-1000)</f>
        <v>15</v>
      </c>
      <c r="G21" s="145" t="str">
        <f>IF(R21&gt;0,IF(M21="n",RANK(H21,H$7:H$126,1)-COUNTBLANK(M$7:M$126),""),"")</f>
        <v/>
      </c>
      <c r="H21" s="144">
        <f>IF((M21="n"),U21,U21-1000)</f>
        <v>-985</v>
      </c>
      <c r="I21" s="160" t="str">
        <f>IF(R21&gt;0,IF(O21="j",RANK(J21,J$7:J$126,1)-COUNTBLANK(O$7:O$126),""),"")</f>
        <v/>
      </c>
      <c r="J21" s="161">
        <f>IF((O21="j"),U21,U21-1000)</f>
        <v>-985</v>
      </c>
      <c r="K21" s="162">
        <f>IF(R21&gt;0,RANK(U21,U$7:U$126,1),"")</f>
        <v>15</v>
      </c>
      <c r="L21" s="168" t="s">
        <v>212</v>
      </c>
      <c r="M21" s="164"/>
      <c r="N21" s="165" t="s">
        <v>193</v>
      </c>
      <c r="O21" s="166"/>
      <c r="P21" s="167"/>
      <c r="Q21" s="192" t="s">
        <v>171</v>
      </c>
      <c r="R21" s="154">
        <f>(IF(COUNT(Z21,AA21,AB21,AC21,AD21,AE21,AF21,AG21,AH21,AI21)&lt;10,SUM(Z21,AA21,AB21,AC21,AD21,AE21,AF21,AG21,AH21,AI21),SUM(LARGE((Z21,AA21,AB21,AC21,AD21,AE21,AF21,AG21,AH21,AI21),{1;2;3;4;5;6;7;8;9}))))</f>
        <v>96</v>
      </c>
      <c r="S21" s="193" t="str">
        <f>INDEX(ETAPP!B$1:B$32,MATCH(COUNTIF(BI21:BR21,1),ETAPP!A$1:A$32,0))&amp;INDEX(ETAPP!B$1:B$32,MATCH(COUNTIF(BI21:BR21,2),ETAPP!A$1:A$32,0))&amp;INDEX(ETAPP!B$1:B$32,MATCH(COUNTIF(BI21:BR21,3),ETAPP!A$1:A$32,0))&amp;INDEX(ETAPP!B$1:B$32,MATCH(COUNTIF(BI21:BR21,4),ETAPP!A$1:A$32,0))&amp;INDEX(ETAPP!B$1:B$32,MATCH(COUNTIF(BI21:BR21,5),ETAPP!A$1:A$32,0))&amp;INDEX(ETAPP!B$1:B$32,MATCH(COUNTIF(BI21:BR21,6),ETAPP!A$1:A$32,0))&amp;INDEX(ETAPP!B$1:B$32,MATCH(COUNTIF(BI21:BR21,7),ETAPP!A$1:A$32,0))&amp;INDEX(ETAPP!B$1:B$32,MATCH(COUNTIF(BI21:BR21,8),ETAPP!A$1:A$32,0))&amp;INDEX(ETAPP!B$1:B$32,MATCH(COUNTIF(BI21:BR21,9),ETAPP!A$1:A$32,0))&amp;INDEX(ETAPP!B$1:B$32,MATCH(COUNTIF(BI21:BR21,10),ETAPP!A$1:A$32,0))&amp;INDEX(ETAPP!B$1:B$32,MATCH(COUNTIF(BI21:BR21,11),ETAPP!A$1:A$32,0))&amp;INDEX(ETAPP!B$1:B$32,MATCH(COUNTIF(BI21:BR21,12),ETAPP!A$1:A$32,0))&amp;INDEX(ETAPP!B$1:B$32,MATCH(COUNTIF(BI21:BR21,13),ETAPP!A$1:A$32,0))&amp;INDEX(ETAPP!B$1:B$32,MATCH(COUNTIF(BI21:BR21,14),ETAPP!A$1:A$32,0))&amp;INDEX(ETAPP!B$1:B$32,MATCH(COUNTIF(BI21:BR21,15),ETAPP!A$1:A$32,0))&amp;INDEX(ETAPP!B$1:B$32,MATCH(COUNTIF(BI21:BR21,16),ETAPP!A$1:A$32,0))&amp;INDEX(ETAPP!B$1:B$32,MATCH(COUNTIF(BI21:BR21,17),ETAPP!A$1:A$32,0))&amp;INDEX(ETAPP!B$1:B$32,MATCH(COUNTIF(BI21:BR21,18),ETAPP!A$1:A$32,0))&amp;INDEX(ETAPP!B$1:B$32,MATCH(COUNTIF(BI21:BR21,19),ETAPP!A$1:A$32,0))&amp;INDEX(ETAPP!B$1:B$32,MATCH(COUNTIF(BI21:BR21,20),ETAPP!A$1:A$32,0))&amp;INDEX(ETAPP!B$1:B$32,MATCH(COUNTIF(BI21:BR21,21),ETAPP!A$1:A$32,0))</f>
        <v>0A0A00C0000000A000000</v>
      </c>
      <c r="T21" s="193" t="str">
        <f>TEXT(R21,"000,0")&amp;"-"&amp;S21</f>
        <v>096,0-0A0A00C0000000A000000</v>
      </c>
      <c r="U21" s="193">
        <f>COUNTIF(T$7:T$126,"&gt;="&amp;T21)</f>
        <v>15</v>
      </c>
      <c r="V21" s="193">
        <f>COUNTIF(L$7:L$126,"&gt;="&amp;L21)</f>
        <v>112</v>
      </c>
      <c r="W21" s="193" t="str">
        <f>TEXT(R21,"000,0")&amp;"-"&amp;S21&amp;"-"&amp;TEXT(V21,"000")</f>
        <v>096,0-0A0A00C0000000A000000-112</v>
      </c>
      <c r="X21" s="193">
        <f>COUNTIF(W$7:W$126,"&gt;="&amp;W21)</f>
        <v>15</v>
      </c>
      <c r="Y21" s="201">
        <f>RANK(X21,X$7:X$126,0)</f>
        <v>106</v>
      </c>
      <c r="Z21" s="202">
        <f>IFERROR(INDEX('V1'!C$300:C$400,MATCH("*"&amp;L21&amp;"*",'V1'!B$300:B$400,0)),"  ")</f>
        <v>6</v>
      </c>
      <c r="AA21" s="202">
        <f>IFERROR(INDEX('V2'!C$300:C$400,MATCH("*"&amp;L21&amp;"*",'V2'!B$300:B$400,0)),"  ")</f>
        <v>22</v>
      </c>
      <c r="AB21" s="202">
        <f>IFERROR(INDEX('V3'!C$300:C$400,MATCH("*"&amp;L21&amp;"*",'V3'!B$300:B$400,0)),"  ")</f>
        <v>24</v>
      </c>
      <c r="AC21" s="202">
        <f>IFERROR(INDEX('V4'!C$300:C$400,MATCH("*"&amp;L21&amp;"*",'V4'!B$300:B$400,0)),"  ")</f>
        <v>16</v>
      </c>
      <c r="AD21" s="202">
        <f>IFERROR(INDEX('V5'!C$300:C$400,MATCH("*"&amp;L21&amp;"*",'V5'!B$300:B$400,0)),"  ")</f>
        <v>12</v>
      </c>
      <c r="AE21" s="202" t="str">
        <f>IFERROR(INDEX('V6'!C$300:C$400,MATCH("*"&amp;L21&amp;"*",'V6'!B$300:B$400,0)),"  ")</f>
        <v>  </v>
      </c>
      <c r="AF21" s="202">
        <f>IFERROR(INDEX('V7'!C$300:C$400,MATCH("*"&amp;L21&amp;"*",'V7'!B$300:B$400,0)),"  ")</f>
        <v>16</v>
      </c>
      <c r="AG21" s="202" t="str">
        <f>IFERROR(INDEX('V8'!C$300:C$400,MATCH("*"&amp;L21&amp;"*",'V8'!B$300:B$400,0)),"  ")</f>
        <v>  </v>
      </c>
      <c r="AH21" s="202"/>
      <c r="AI21" s="202"/>
      <c r="AJ21" s="222">
        <f>IF(AN21&gt;(AT$2-1),K21,"")</f>
        <v>15</v>
      </c>
      <c r="AK21" s="223">
        <f>SUM(Z21:AI21)</f>
        <v>96</v>
      </c>
      <c r="AL21" s="224" t="str">
        <f>IFERROR("edasi "&amp;RANK(AJ21,AJ$7:AJ$126,1),K21)</f>
        <v>edasi 15</v>
      </c>
      <c r="AM21" s="225" t="str">
        <f>IFERROR(INDEX(#REF!,MATCH("*"&amp;L21&amp;"*",#REF!,0)),"  ")</f>
        <v>  </v>
      </c>
      <c r="AN21" s="226">
        <f>COUNTIF(Z21:AI21,"&gt;=0")</f>
        <v>6</v>
      </c>
      <c r="AO21" s="126">
        <f>IFERROR(IF(Z21+1&gt;LARGE(Z$7:Z$126,1)-2*LEN(Z$5),1),0)+IFERROR(IF(AA21+1&gt;LARGE(AA$7:AA$126,1)-2*LEN(AA$5),1),0)+IFERROR(IF(AB21+1&gt;LARGE(AB$7:AB$126,1)-2*LEN(AB$5),1),0)+IFERROR(IF(AC21+1&gt;LARGE(AC$7:AC$126,1)-2*LEN(AC$5),1),0)+IFERROR(IF(AD21+1&gt;LARGE(AD$7:AD$126,1)-2*LEN(AD$5),1),0)+IFERROR(IF(AE21+1&gt;LARGE(AE$7:AE$126,1)-2*LEN(AE$5),1),0)+IFERROR(IF(AF21+1&gt;LARGE(AF$7:AF$126,1)-2*LEN(AF$5),1),0)+IFERROR(IF(AG21+1&gt;LARGE(AG$7:AG$126,1)-2*LEN(AG$5),1),0)+IFERROR(IF(AH21+1&gt;LARGE(AH$7:AH$126,1)-2*LEN(AH$5),1),0)+IFERROR(IF(AI21+1&gt;LARGE(AI$7:AI$126,1)-2*LEN(AI$5),1),0)</f>
        <v>1</v>
      </c>
      <c r="AP21" s="126">
        <f>IF(Z21=0,0,IF(Z21=IFERROR(LARGE(Z$7:Z$126,1),0),1,0))+IF(AA21=0,0,IF(AA21=IFERROR(LARGE(AA$7:AA$126,1),0),1,0))+IF(AB21=0,0,IF(AB21=IFERROR(LARGE(AB$7:AB$126,1),0),1,0))+IF(AC21=0,0,IF(AC21=IFERROR(LARGE(AC$7:AC$126,1),0),1,0))+IF(AD21=0,0,IF(AD21=IFERROR(LARGE(AD$7:AD$126,1),0),1,0))+IF(AE21=0,0,IF(AE21=IFERROR(LARGE(AE$7:AE$126,1),0),1,0))+IF(AF21=0,0,IF(AF21=IFERROR(LARGE(AF$7:AF$126,1),0),1,0))+IF(AG21=0,0,IF(AG21=IFERROR(LARGE(AG$7:AG$126,1),0),1,0))+IF(AH21=0,0,IF(AH21=IFERROR(LARGE(AH$7:AH$126,1),0),1,0))+IF(AI21=0,0,IF(AI21=IFERROR(LARGE(AI$7:AI$126,1),0),1,0))</f>
        <v>0</v>
      </c>
      <c r="AQ21" s="233"/>
      <c r="AR21" s="233"/>
      <c r="AS21" s="233"/>
      <c r="AT21" s="234">
        <f>SMALL(AU21:BD21,AT$3)</f>
        <v>0.0006</v>
      </c>
      <c r="AU21" s="235">
        <f>IF(Z21="  ",0+MID(Z$6,FIND("V",Z$6)+1,256)/10000,Z21+MID(Z$6,FIND("V",Z$6)+1,256)/10000)</f>
        <v>6.0001</v>
      </c>
      <c r="AV21" s="235">
        <f>IF(AA21="  ",0+MID(AA$6,FIND("V",AA$6)+1,256)/10000,AA21+MID(AA$6,FIND("V",AA$6)+1,256)/10000)</f>
        <v>22.0002</v>
      </c>
      <c r="AW21" s="235">
        <f>IF(AB21="  ",0+MID(AB$6,FIND("V",AB$6)+1,256)/10000,AB21+MID(AB$6,FIND("V",AB$6)+1,256)/10000)</f>
        <v>24.0003</v>
      </c>
      <c r="AX21" s="235">
        <f>IF(AC21="  ",0+MID(AC$6,FIND("V",AC$6)+1,256)/10000,AC21+MID(AC$6,FIND("V",AC$6)+1,256)/10000)</f>
        <v>16.0004</v>
      </c>
      <c r="AY21" s="235">
        <f>IF(AD21="  ",0+MID(AD$6,FIND("V",AD$6)+1,256)/10000,AD21+MID(AD$6,FIND("V",AD$6)+1,256)/10000)</f>
        <v>12.0005</v>
      </c>
      <c r="AZ21" s="235">
        <f>IF(AE21="  ",0+MID(AE$6,FIND("V",AE$6)+1,256)/10000,AE21+MID(AE$6,FIND("V",AE$6)+1,256)/10000)</f>
        <v>0.0006</v>
      </c>
      <c r="BA21" s="235">
        <f>IF(AF21="  ",0+MID(AF$6,FIND("V",AF$6)+1,256)/10000,AF21+MID(AF$6,FIND("V",AF$6)+1,256)/10000)</f>
        <v>16.0007</v>
      </c>
      <c r="BB21" s="235">
        <f>IF(AG21="  ",0+MID(AG$6,FIND("V",AG$6)+1,256)/10000,AG21+MID(AG$6,FIND("V",AG$6)+1,256)/10000)</f>
        <v>0.0008</v>
      </c>
      <c r="BC21" s="235">
        <f>IF(AH21="  ",0+MID(AH$6,FIND("V",AH$6)+1,256)/10000,AH21+MID(AH$6,FIND("V",AH$6)+1,256)/10000)</f>
        <v>0.0009</v>
      </c>
      <c r="BD21" s="235">
        <f>IF(AI21="  ",0+MID(AI$6,FIND("V",AI$6)+1,256)/10000,AI21+MID(AI$6,FIND("V",AI$6)+1,256)/10000)</f>
        <v>0.001</v>
      </c>
      <c r="BE21" s="233"/>
      <c r="BF21" s="233"/>
      <c r="BG21" s="233"/>
      <c r="BH21" s="233"/>
      <c r="BI21" s="3">
        <f>(LARGE(Z$7:Z$126,1)-Z21)/2+1</f>
        <v>7</v>
      </c>
      <c r="BJ21" s="3">
        <f>(LARGE(AA$7:AA$126,1)-AA21)/2+1</f>
        <v>4</v>
      </c>
      <c r="BK21" s="3">
        <f>(LARGE(AB$7:AB$126,1)-AB21)/2+1</f>
        <v>2</v>
      </c>
      <c r="BL21" s="3">
        <f>(LARGE(AC$7:AC$126,1)-AC21)/2+1</f>
        <v>7</v>
      </c>
      <c r="BM21" s="3">
        <f>(LARGE(AD$7:AD$126,1)-AD21)/2+1</f>
        <v>15</v>
      </c>
      <c r="BN21" s="3" t="e">
        <f>(LARGE(AE$7:AE$126,1)-AE21)/2+1</f>
        <v>#VALUE!</v>
      </c>
      <c r="BO21" s="3">
        <f>(LARGE(AF$7:AF$126,1)-AF21)/2+1</f>
        <v>7</v>
      </c>
      <c r="BP21" s="3" t="e">
        <f>(LARGE(AG$7:AG$126,1)-AG21)/2+1</f>
        <v>#VALUE!</v>
      </c>
      <c r="BQ21" s="3" t="e">
        <f>(LARGE(AH$7:AH$126,1)-AH21)/2+1</f>
        <v>#NUM!</v>
      </c>
      <c r="BR21" s="3" t="e">
        <f>(LARGE(AI$7:AI$126,1)-AI21)/2+1</f>
        <v>#NUM!</v>
      </c>
    </row>
    <row r="22" spans="1:70">
      <c r="A22" s="139">
        <f>IF(R22&gt;0,IF(Q22="Viru SK",RANK(B22,B$7:B$126,1)-COUNTIF((Q$7:Q$126),"&lt;&gt;Viru SK"),""),"")</f>
        <v>12</v>
      </c>
      <c r="B22" s="140">
        <f>IF((Q22="Viru SK"),U22,U22-1000)</f>
        <v>16</v>
      </c>
      <c r="C22" s="141">
        <f>IF(R22&gt;0,IF(P22="t",RANK(D22,D$7:D$126,1)-COUNTBLANK(P$7:P$126),""),"")</f>
        <v>6</v>
      </c>
      <c r="D22" s="142">
        <f>IF((P22="t"),U22,U22-1000)</f>
        <v>16</v>
      </c>
      <c r="E22" s="143">
        <f>IF(R22&gt;0,IF(N22="m",RANK(F22,F$7:F$126,1)-COUNTBLANK(N$7:N$126),""),"")</f>
        <v>15</v>
      </c>
      <c r="F22" s="144">
        <f>IF((N22="m"),U22,U22-1000)</f>
        <v>16</v>
      </c>
      <c r="G22" s="145" t="str">
        <f>IF(R22&gt;0,IF(M22="n",RANK(H22,H$7:H$126,1)-COUNTBLANK(M$7:M$126),""),"")</f>
        <v/>
      </c>
      <c r="H22" s="144">
        <f>IF((M22="n"),U22,U22-1000)</f>
        <v>-984</v>
      </c>
      <c r="I22" s="160" t="str">
        <f>IF(R22&gt;0,IF(O22="j",RANK(J22,J$7:J$126,1)-COUNTBLANK(O$7:O$126),""),"")</f>
        <v/>
      </c>
      <c r="J22" s="161">
        <f>IF((O22="j"),U22,U22-1000)</f>
        <v>-984</v>
      </c>
      <c r="K22" s="162">
        <f>IF(R22&gt;0,RANK(U22,U$7:U$126,1),"")</f>
        <v>16</v>
      </c>
      <c r="L22" s="163" t="s">
        <v>213</v>
      </c>
      <c r="M22" s="164"/>
      <c r="N22" s="165" t="str">
        <f>IF(M22="","m","")</f>
        <v>m</v>
      </c>
      <c r="O22" s="166"/>
      <c r="P22" s="167" t="s">
        <v>196</v>
      </c>
      <c r="Q22" s="192" t="s">
        <v>171</v>
      </c>
      <c r="R22" s="154">
        <f>(IF(COUNT(Z22,AA22,AB22,AC22,AD22,AE22,AF22,AG22,AH22,AI22)&lt;10,SUM(Z22,AA22,AB22,AC22,AD22,AE22,AF22,AG22,AH22,AI22),SUM(LARGE((Z22,AA22,AB22,AC22,AD22,AE22,AF22,AG22,AH22,AI22),{1;2;3;4;5;6;7;8;9}))))</f>
        <v>88</v>
      </c>
      <c r="S22" s="193" t="str">
        <f>INDEX(ETAPP!B$1:B$32,MATCH(COUNTIF(BI22:BR22,1),ETAPP!A$1:A$32,0))&amp;INDEX(ETAPP!B$1:B$32,MATCH(COUNTIF(BI22:BR22,2),ETAPP!A$1:A$32,0))&amp;INDEX(ETAPP!B$1:B$32,MATCH(COUNTIF(BI22:BR22,3),ETAPP!A$1:A$32,0))&amp;INDEX(ETAPP!B$1:B$32,MATCH(COUNTIF(BI22:BR22,4),ETAPP!A$1:A$32,0))&amp;INDEX(ETAPP!B$1:B$32,MATCH(COUNTIF(BI22:BR22,5),ETAPP!A$1:A$32,0))&amp;INDEX(ETAPP!B$1:B$32,MATCH(COUNTIF(BI22:BR22,6),ETAPP!A$1:A$32,0))&amp;INDEX(ETAPP!B$1:B$32,MATCH(COUNTIF(BI22:BR22,7),ETAPP!A$1:A$32,0))&amp;INDEX(ETAPP!B$1:B$32,MATCH(COUNTIF(BI22:BR22,8),ETAPP!A$1:A$32,0))&amp;INDEX(ETAPP!B$1:B$32,MATCH(COUNTIF(BI22:BR22,9),ETAPP!A$1:A$32,0))&amp;INDEX(ETAPP!B$1:B$32,MATCH(COUNTIF(BI22:BR22,10),ETAPP!A$1:A$32,0))&amp;INDEX(ETAPP!B$1:B$32,MATCH(COUNTIF(BI22:BR22,11),ETAPP!A$1:A$32,0))&amp;INDEX(ETAPP!B$1:B$32,MATCH(COUNTIF(BI22:BR22,12),ETAPP!A$1:A$32,0))&amp;INDEX(ETAPP!B$1:B$32,MATCH(COUNTIF(BI22:BR22,13),ETAPP!A$1:A$32,0))&amp;INDEX(ETAPP!B$1:B$32,MATCH(COUNTIF(BI22:BR22,14),ETAPP!A$1:A$32,0))&amp;INDEX(ETAPP!B$1:B$32,MATCH(COUNTIF(BI22:BR22,15),ETAPP!A$1:A$32,0))&amp;INDEX(ETAPP!B$1:B$32,MATCH(COUNTIF(BI22:BR22,16),ETAPP!A$1:A$32,0))&amp;INDEX(ETAPP!B$1:B$32,MATCH(COUNTIF(BI22:BR22,17),ETAPP!A$1:A$32,0))&amp;INDEX(ETAPP!B$1:B$32,MATCH(COUNTIF(BI22:BR22,18),ETAPP!A$1:A$32,0))&amp;INDEX(ETAPP!B$1:B$32,MATCH(COUNTIF(BI22:BR22,19),ETAPP!A$1:A$32,0))&amp;INDEX(ETAPP!B$1:B$32,MATCH(COUNTIF(BI22:BR22,20),ETAPP!A$1:A$32,0))&amp;INDEX(ETAPP!B$1:B$32,MATCH(COUNTIF(BI22:BR22,21),ETAPP!A$1:A$32,0))</f>
        <v>0A0A00B000A000A000000</v>
      </c>
      <c r="T22" s="193" t="str">
        <f>TEXT(R22,"000,0")&amp;"-"&amp;S22</f>
        <v>088,0-0A0A00B000A000A000000</v>
      </c>
      <c r="U22" s="193">
        <f>COUNTIF(T$7:T$126,"&gt;="&amp;T22)</f>
        <v>16</v>
      </c>
      <c r="V22" s="193">
        <f>COUNTIF(L$7:L$126,"&gt;="&amp;L22)</f>
        <v>94</v>
      </c>
      <c r="W22" s="193" t="str">
        <f>TEXT(R22,"000,0")&amp;"-"&amp;S22&amp;"-"&amp;TEXT(V22,"000")</f>
        <v>088,0-0A0A00B000A000A000000-094</v>
      </c>
      <c r="X22" s="193">
        <f>COUNTIF(W$7:W$126,"&gt;="&amp;W22)</f>
        <v>16</v>
      </c>
      <c r="Y22" s="201">
        <f>RANK(X22,X$7:X$126,0)</f>
        <v>105</v>
      </c>
      <c r="Z22" s="202">
        <f>IFERROR(INDEX('V1'!C$300:C$400,MATCH("*"&amp;L22&amp;"*",'V1'!B$300:B$400,0)),"  ")</f>
        <v>6</v>
      </c>
      <c r="AA22" s="202">
        <f>IFERROR(INDEX('V2'!C$300:C$400,MATCH("*"&amp;L22&amp;"*",'V2'!B$300:B$400,0)),"  ")</f>
        <v>22</v>
      </c>
      <c r="AB22" s="202">
        <f>IFERROR(INDEX('V3'!C$300:C$400,MATCH("*"&amp;L22&amp;"*",'V3'!B$300:B$400,0)),"  ")</f>
        <v>24</v>
      </c>
      <c r="AC22" s="202">
        <f>IFERROR(INDEX('V4'!C$300:C$400,MATCH("*"&amp;L22&amp;"*",'V4'!B$300:B$400,0)),"  ")</f>
        <v>16</v>
      </c>
      <c r="AD22" s="202">
        <f>IFERROR(INDEX('V5'!C$300:C$400,MATCH("*"&amp;L22&amp;"*",'V5'!B$300:B$400,0)),"  ")</f>
        <v>12</v>
      </c>
      <c r="AE22" s="202">
        <f>IFERROR(INDEX('V6'!C$300:C$400,MATCH("*"&amp;L22&amp;"*",'V6'!B$300:B$400,0)),"  ")</f>
        <v>8</v>
      </c>
      <c r="AF22" s="202" t="str">
        <f>IFERROR(INDEX('V7'!C$300:C$400,MATCH("*"&amp;L22&amp;"*",'V7'!B$300:B$400,0)),"  ")</f>
        <v>  </v>
      </c>
      <c r="AG22" s="202" t="str">
        <f>IFERROR(INDEX('V8'!C$300:C$400,MATCH("*"&amp;L22&amp;"*",'V8'!B$300:B$400,0)),"  ")</f>
        <v>  </v>
      </c>
      <c r="AH22" s="202"/>
      <c r="AI22" s="202"/>
      <c r="AJ22" s="222">
        <f>IF(AN22&gt;(AT$2-1),K22,"")</f>
        <v>16</v>
      </c>
      <c r="AK22" s="223">
        <f>SUM(Z22:AI22)</f>
        <v>88</v>
      </c>
      <c r="AL22" s="224" t="str">
        <f>IFERROR("edasi "&amp;RANK(AJ22,AJ$7:AJ$126,1),K22)</f>
        <v>edasi 16</v>
      </c>
      <c r="AM22" s="225" t="str">
        <f>IFERROR(INDEX(#REF!,MATCH("*"&amp;L22&amp;"*",#REF!,0)),"  ")</f>
        <v>  </v>
      </c>
      <c r="AN22" s="226">
        <f>COUNTIF(Z22:AI22,"&gt;=0")</f>
        <v>6</v>
      </c>
      <c r="AO22" s="126">
        <f>IFERROR(IF(Z22+1&gt;LARGE(Z$7:Z$126,1)-2*LEN(Z$5),1),0)+IFERROR(IF(AA22+1&gt;LARGE(AA$7:AA$126,1)-2*LEN(AA$5),1),0)+IFERROR(IF(AB22+1&gt;LARGE(AB$7:AB$126,1)-2*LEN(AB$5),1),0)+IFERROR(IF(AC22+1&gt;LARGE(AC$7:AC$126,1)-2*LEN(AC$5),1),0)+IFERROR(IF(AD22+1&gt;LARGE(AD$7:AD$126,1)-2*LEN(AD$5),1),0)+IFERROR(IF(AE22+1&gt;LARGE(AE$7:AE$126,1)-2*LEN(AE$5),1),0)+IFERROR(IF(AF22+1&gt;LARGE(AF$7:AF$126,1)-2*LEN(AF$5),1),0)+IFERROR(IF(AG22+1&gt;LARGE(AG$7:AG$126,1)-2*LEN(AG$5),1),0)+IFERROR(IF(AH22+1&gt;LARGE(AH$7:AH$126,1)-2*LEN(AH$5),1),0)+IFERROR(IF(AI22+1&gt;LARGE(AI$7:AI$126,1)-2*LEN(AI$5),1),0)</f>
        <v>1</v>
      </c>
      <c r="AP22" s="126">
        <f>IF(Z22=0,0,IF(Z22=IFERROR(LARGE(Z$7:Z$126,1),0),1,0))+IF(AA22=0,0,IF(AA22=IFERROR(LARGE(AA$7:AA$126,1),0),1,0))+IF(AB22=0,0,IF(AB22=IFERROR(LARGE(AB$7:AB$126,1),0),1,0))+IF(AC22=0,0,IF(AC22=IFERROR(LARGE(AC$7:AC$126,1),0),1,0))+IF(AD22=0,0,IF(AD22=IFERROR(LARGE(AD$7:AD$126,1),0),1,0))+IF(AE22=0,0,IF(AE22=IFERROR(LARGE(AE$7:AE$126,1),0),1,0))+IF(AF22=0,0,IF(AF22=IFERROR(LARGE(AF$7:AF$126,1),0),1,0))+IF(AG22=0,0,IF(AG22=IFERROR(LARGE(AG$7:AG$126,1),0),1,0))+IF(AH22=0,0,IF(AH22=IFERROR(LARGE(AH$7:AH$126,1),0),1,0))+IF(AI22=0,0,IF(AI22=IFERROR(LARGE(AI$7:AI$126,1),0),1,0))</f>
        <v>0</v>
      </c>
      <c r="AQ22" s="233"/>
      <c r="AR22" s="233"/>
      <c r="AS22" s="233"/>
      <c r="AT22" s="234">
        <f>SMALL(AU22:BD22,AT$3)</f>
        <v>0.0007</v>
      </c>
      <c r="AU22" s="235">
        <f>IF(Z22="  ",0+MID(Z$6,FIND("V",Z$6)+1,256)/10000,Z22+MID(Z$6,FIND("V",Z$6)+1,256)/10000)</f>
        <v>6.0001</v>
      </c>
      <c r="AV22" s="235">
        <f>IF(AA22="  ",0+MID(AA$6,FIND("V",AA$6)+1,256)/10000,AA22+MID(AA$6,FIND("V",AA$6)+1,256)/10000)</f>
        <v>22.0002</v>
      </c>
      <c r="AW22" s="235">
        <f>IF(AB22="  ",0+MID(AB$6,FIND("V",AB$6)+1,256)/10000,AB22+MID(AB$6,FIND("V",AB$6)+1,256)/10000)</f>
        <v>24.0003</v>
      </c>
      <c r="AX22" s="235">
        <f>IF(AC22="  ",0+MID(AC$6,FIND("V",AC$6)+1,256)/10000,AC22+MID(AC$6,FIND("V",AC$6)+1,256)/10000)</f>
        <v>16.0004</v>
      </c>
      <c r="AY22" s="235">
        <f>IF(AD22="  ",0+MID(AD$6,FIND("V",AD$6)+1,256)/10000,AD22+MID(AD$6,FIND("V",AD$6)+1,256)/10000)</f>
        <v>12.0005</v>
      </c>
      <c r="AZ22" s="235">
        <f>IF(AE22="  ",0+MID(AE$6,FIND("V",AE$6)+1,256)/10000,AE22+MID(AE$6,FIND("V",AE$6)+1,256)/10000)</f>
        <v>8.0006</v>
      </c>
      <c r="BA22" s="235">
        <f>IF(AF22="  ",0+MID(AF$6,FIND("V",AF$6)+1,256)/10000,AF22+MID(AF$6,FIND("V",AF$6)+1,256)/10000)</f>
        <v>0.0007</v>
      </c>
      <c r="BB22" s="235">
        <f>IF(AG22="  ",0+MID(AG$6,FIND("V",AG$6)+1,256)/10000,AG22+MID(AG$6,FIND("V",AG$6)+1,256)/10000)</f>
        <v>0.0008</v>
      </c>
      <c r="BC22" s="235">
        <f>IF(AH22="  ",0+MID(AH$6,FIND("V",AH$6)+1,256)/10000,AH22+MID(AH$6,FIND("V",AH$6)+1,256)/10000)</f>
        <v>0.0009</v>
      </c>
      <c r="BD22" s="235">
        <f>IF(AI22="  ",0+MID(AI$6,FIND("V",AI$6)+1,256)/10000,AI22+MID(AI$6,FIND("V",AI$6)+1,256)/10000)</f>
        <v>0.001</v>
      </c>
      <c r="BE22" s="233"/>
      <c r="BF22" s="233"/>
      <c r="BG22" s="233"/>
      <c r="BH22" s="233"/>
      <c r="BI22" s="3">
        <f>(LARGE(Z$7:Z$126,1)-Z22)/2+1</f>
        <v>7</v>
      </c>
      <c r="BJ22" s="3">
        <f>(LARGE(AA$7:AA$126,1)-AA22)/2+1</f>
        <v>4</v>
      </c>
      <c r="BK22" s="3">
        <f>(LARGE(AB$7:AB$126,1)-AB22)/2+1</f>
        <v>2</v>
      </c>
      <c r="BL22" s="3">
        <f>(LARGE(AC$7:AC$126,1)-AC22)/2+1</f>
        <v>7</v>
      </c>
      <c r="BM22" s="3">
        <f>(LARGE(AD$7:AD$126,1)-AD22)/2+1</f>
        <v>15</v>
      </c>
      <c r="BN22" s="3">
        <f>(LARGE(AE$7:AE$126,1)-AE22)/2+1</f>
        <v>11</v>
      </c>
      <c r="BO22" s="3" t="e">
        <f>(LARGE(AF$7:AF$126,1)-AF22)/2+1</f>
        <v>#VALUE!</v>
      </c>
      <c r="BP22" s="3" t="e">
        <f>(LARGE(AG$7:AG$126,1)-AG22)/2+1</f>
        <v>#VALUE!</v>
      </c>
      <c r="BQ22" s="3" t="e">
        <f>(LARGE(AH$7:AH$126,1)-AH22)/2+1</f>
        <v>#NUM!</v>
      </c>
      <c r="BR22" s="3" t="e">
        <f>(LARGE(AI$7:AI$126,1)-AI22)/2+1</f>
        <v>#NUM!</v>
      </c>
    </row>
    <row r="23" spans="1:70">
      <c r="A23" s="139">
        <f>IF(R23&gt;0,IF(Q23="Viru SK",RANK(B23,B$7:B$126,1)-COUNTIF((Q$7:Q$126),"&lt;&gt;Viru SK"),""),"")</f>
        <v>13</v>
      </c>
      <c r="B23" s="140">
        <f>IF((Q23="Viru SK"),U23,U23-1000)</f>
        <v>17</v>
      </c>
      <c r="C23" s="141">
        <f>IF(R23&gt;0,IF(P23="t",RANK(D23,D$7:D$126,1)-COUNTBLANK(P$7:P$126),""),"")</f>
        <v>7</v>
      </c>
      <c r="D23" s="142">
        <f>IF((P23="t"),U23,U23-1000)</f>
        <v>17</v>
      </c>
      <c r="E23" s="143">
        <f>IF(R23&gt;0,IF(N23="m",RANK(F23,F$7:F$126,1)-COUNTBLANK(N$7:N$126),""),"")</f>
        <v>16</v>
      </c>
      <c r="F23" s="144">
        <f>IF((N23="m"),U23,U23-1000)</f>
        <v>17</v>
      </c>
      <c r="G23" s="145" t="str">
        <f>IF(R23&gt;0,IF(M23="n",RANK(H23,H$7:H$126,1)-COUNTBLANK(M$7:M$126),""),"")</f>
        <v/>
      </c>
      <c r="H23" s="144">
        <f>IF((M23="n"),U23,U23-1000)</f>
        <v>-983</v>
      </c>
      <c r="I23" s="160" t="str">
        <f>IF(R23&gt;0,IF(O23="j",RANK(J23,J$7:J$126,1)-COUNTBLANK(O$7:O$126),""),"")</f>
        <v/>
      </c>
      <c r="J23" s="161">
        <f>IF((O23="j"),U23,U23-1000)</f>
        <v>-983</v>
      </c>
      <c r="K23" s="162">
        <f>IF(R23&gt;0,RANK(U23,U$7:U$126,1),"")</f>
        <v>17</v>
      </c>
      <c r="L23" s="163" t="s">
        <v>214</v>
      </c>
      <c r="M23" s="164"/>
      <c r="N23" s="165" t="str">
        <f>IF(M23="","m","")</f>
        <v>m</v>
      </c>
      <c r="O23" s="166"/>
      <c r="P23" s="167" t="s">
        <v>196</v>
      </c>
      <c r="Q23" s="192" t="s">
        <v>171</v>
      </c>
      <c r="R23" s="154">
        <f>(IF(COUNT(Z23,AA23,AB23,AC23,AD23,AE23,AF23,AG23,AH23,AI23)&lt;10,SUM(Z23,AA23,AB23,AC23,AD23,AE23,AF23,AG23,AH23,AI23),SUM(LARGE((Z23,AA23,AB23,AC23,AD23,AE23,AF23,AG23,AH23,AI23),{1;2;3;4;5;6;7;8;9}))))</f>
        <v>86</v>
      </c>
      <c r="S23" s="193" t="str">
        <f>INDEX(ETAPP!B$1:B$32,MATCH(COUNTIF(BI23:BR23,1),ETAPP!A$1:A$32,0))&amp;INDEX(ETAPP!B$1:B$32,MATCH(COUNTIF(BI23:BR23,2),ETAPP!A$1:A$32,0))&amp;INDEX(ETAPP!B$1:B$32,MATCH(COUNTIF(BI23:BR23,3),ETAPP!A$1:A$32,0))&amp;INDEX(ETAPP!B$1:B$32,MATCH(COUNTIF(BI23:BR23,4),ETAPP!A$1:A$32,0))&amp;INDEX(ETAPP!B$1:B$32,MATCH(COUNTIF(BI23:BR23,5),ETAPP!A$1:A$32,0))&amp;INDEX(ETAPP!B$1:B$32,MATCH(COUNTIF(BI23:BR23,6),ETAPP!A$1:A$32,0))&amp;INDEX(ETAPP!B$1:B$32,MATCH(COUNTIF(BI23:BR23,7),ETAPP!A$1:A$32,0))&amp;INDEX(ETAPP!B$1:B$32,MATCH(COUNTIF(BI23:BR23,8),ETAPP!A$1:A$32,0))&amp;INDEX(ETAPP!B$1:B$32,MATCH(COUNTIF(BI23:BR23,9),ETAPP!A$1:A$32,0))&amp;INDEX(ETAPP!B$1:B$32,MATCH(COUNTIF(BI23:BR23,10),ETAPP!A$1:A$32,0))&amp;INDEX(ETAPP!B$1:B$32,MATCH(COUNTIF(BI23:BR23,11),ETAPP!A$1:A$32,0))&amp;INDEX(ETAPP!B$1:B$32,MATCH(COUNTIF(BI23:BR23,12),ETAPP!A$1:A$32,0))&amp;INDEX(ETAPP!B$1:B$32,MATCH(COUNTIF(BI23:BR23,13),ETAPP!A$1:A$32,0))&amp;INDEX(ETAPP!B$1:B$32,MATCH(COUNTIF(BI23:BR23,14),ETAPP!A$1:A$32,0))&amp;INDEX(ETAPP!B$1:B$32,MATCH(COUNTIF(BI23:BR23,15),ETAPP!A$1:A$32,0))&amp;INDEX(ETAPP!B$1:B$32,MATCH(COUNTIF(BI23:BR23,16),ETAPP!A$1:A$32,0))&amp;INDEX(ETAPP!B$1:B$32,MATCH(COUNTIF(BI23:BR23,17),ETAPP!A$1:A$32,0))&amp;INDEX(ETAPP!B$1:B$32,MATCH(COUNTIF(BI23:BR23,18),ETAPP!A$1:A$32,0))&amp;INDEX(ETAPP!B$1:B$32,MATCH(COUNTIF(BI23:BR23,19),ETAPP!A$1:A$32,0))&amp;INDEX(ETAPP!B$1:B$32,MATCH(COUNTIF(BI23:BR23,20),ETAPP!A$1:A$32,0))&amp;INDEX(ETAPP!B$1:B$32,MATCH(COUNTIF(BI23:BR23,21),ETAPP!A$1:A$32,0))</f>
        <v>00A0AA0A0000000000000</v>
      </c>
      <c r="T23" s="193" t="str">
        <f>TEXT(R23,"000,0")&amp;"-"&amp;S23</f>
        <v>086,0-00A0AA0A0000000000000</v>
      </c>
      <c r="U23" s="193">
        <f>COUNTIF(T$7:T$126,"&gt;="&amp;T23)</f>
        <v>17</v>
      </c>
      <c r="V23" s="193">
        <f>COUNTIF(L$7:L$126,"&gt;="&amp;L23)</f>
        <v>70</v>
      </c>
      <c r="W23" s="193" t="str">
        <f>TEXT(R23,"000,0")&amp;"-"&amp;S23&amp;"-"&amp;TEXT(V23,"000")</f>
        <v>086,0-00A0AA0A0000000000000-070</v>
      </c>
      <c r="X23" s="193">
        <f>COUNTIF(W$7:W$126,"&gt;="&amp;W23)</f>
        <v>17</v>
      </c>
      <c r="Y23" s="201">
        <f>RANK(X23,X$7:X$126,0)</f>
        <v>104</v>
      </c>
      <c r="Z23" s="202" t="str">
        <f>IFERROR(INDEX('V1'!C$300:C$400,MATCH("*"&amp;L23&amp;"*",'V1'!B$300:B$400,0)),"  ")</f>
        <v>  </v>
      </c>
      <c r="AA23" s="202" t="str">
        <f>IFERROR(INDEX('V2'!C$300:C$400,MATCH("*"&amp;L23&amp;"*",'V2'!B$300:B$400,0)),"  ")</f>
        <v>  </v>
      </c>
      <c r="AB23" s="202" t="str">
        <f>IFERROR(INDEX('V3'!C$300:C$400,MATCH("*"&amp;L23&amp;"*",'V3'!B$300:B$400,0)),"  ")</f>
        <v>  </v>
      </c>
      <c r="AC23" s="202" t="str">
        <f>IFERROR(INDEX('V4'!C$300:C$400,MATCH("*"&amp;L23&amp;"*",'V4'!B$300:B$400,0)),"  ")</f>
        <v>  </v>
      </c>
      <c r="AD23" s="202">
        <f>IFERROR(INDEX('V5'!C$300:C$400,MATCH("*"&amp;L23&amp;"*",'V5'!B$300:B$400,0)),"  ")</f>
        <v>32</v>
      </c>
      <c r="AE23" s="202">
        <f>IFERROR(INDEX('V6'!C$300:C$400,MATCH("*"&amp;L23&amp;"*",'V6'!B$300:B$400,0)),"  ")</f>
        <v>24</v>
      </c>
      <c r="AF23" s="202">
        <f>IFERROR(INDEX('V7'!C$300:C$400,MATCH("*"&amp;L23&amp;"*",'V7'!B$300:B$400,0)),"  ")</f>
        <v>14</v>
      </c>
      <c r="AG23" s="202">
        <f>IFERROR(INDEX('V8'!C$300:C$400,MATCH("*"&amp;L23&amp;"*",'V8'!B$300:B$400,0)),"  ")</f>
        <v>16</v>
      </c>
      <c r="AH23" s="202"/>
      <c r="AI23" s="202"/>
      <c r="AJ23" s="222">
        <f>IF(AN23&gt;(AT$2-1),K23,"")</f>
        <v>17</v>
      </c>
      <c r="AK23" s="223">
        <f>SUM(Z23:AI23)</f>
        <v>86</v>
      </c>
      <c r="AL23" s="224" t="str">
        <f>IFERROR("edasi "&amp;RANK(AJ23,AJ$7:AJ$126,1),K23)</f>
        <v>edasi 17</v>
      </c>
      <c r="AM23" s="225" t="str">
        <f>IFERROR(INDEX(#REF!,MATCH("*"&amp;L23&amp;"*",#REF!,0)),"  ")</f>
        <v>  </v>
      </c>
      <c r="AN23" s="226">
        <f>COUNTIF(Z23:AI23,"&gt;=0")</f>
        <v>4</v>
      </c>
      <c r="AO23" s="126">
        <f>IFERROR(IF(Z23+1&gt;LARGE(Z$7:Z$126,1)-2*LEN(Z$5),1),0)+IFERROR(IF(AA23+1&gt;LARGE(AA$7:AA$126,1)-2*LEN(AA$5),1),0)+IFERROR(IF(AB23+1&gt;LARGE(AB$7:AB$126,1)-2*LEN(AB$5),1),0)+IFERROR(IF(AC23+1&gt;LARGE(AC$7:AC$126,1)-2*LEN(AC$5),1),0)+IFERROR(IF(AD23+1&gt;LARGE(AD$7:AD$126,1)-2*LEN(AD$5),1),0)+IFERROR(IF(AE23+1&gt;LARGE(AE$7:AE$126,1)-2*LEN(AE$5),1),0)+IFERROR(IF(AF23+1&gt;LARGE(AF$7:AF$126,1)-2*LEN(AF$5),1),0)+IFERROR(IF(AG23+1&gt;LARGE(AG$7:AG$126,1)-2*LEN(AG$5),1),0)+IFERROR(IF(AH23+1&gt;LARGE(AH$7:AH$126,1)-2*LEN(AH$5),1),0)+IFERROR(IF(AI23+1&gt;LARGE(AI$7:AI$126,1)-2*LEN(AI$5),1),0)</f>
        <v>1</v>
      </c>
      <c r="AP23" s="126">
        <f>IF(Z23=0,0,IF(Z23=IFERROR(LARGE(Z$7:Z$126,1),0),1,0))+IF(AA23=0,0,IF(AA23=IFERROR(LARGE(AA$7:AA$126,1),0),1,0))+IF(AB23=0,0,IF(AB23=IFERROR(LARGE(AB$7:AB$126,1),0),1,0))+IF(AC23=0,0,IF(AC23=IFERROR(LARGE(AC$7:AC$126,1),0),1,0))+IF(AD23=0,0,IF(AD23=IFERROR(LARGE(AD$7:AD$126,1),0),1,0))+IF(AE23=0,0,IF(AE23=IFERROR(LARGE(AE$7:AE$126,1),0),1,0))+IF(AF23=0,0,IF(AF23=IFERROR(LARGE(AF$7:AF$126,1),0),1,0))+IF(AG23=0,0,IF(AG23=IFERROR(LARGE(AG$7:AG$126,1),0),1,0))+IF(AH23=0,0,IF(AH23=IFERROR(LARGE(AH$7:AH$126,1),0),1,0))+IF(AI23=0,0,IF(AI23=IFERROR(LARGE(AI$7:AI$126,1),0),1,0))</f>
        <v>0</v>
      </c>
      <c r="AQ23" s="233"/>
      <c r="AR23" s="233"/>
      <c r="AS23" s="233"/>
      <c r="AT23" s="234">
        <f>SMALL(AU23:BD23,AT$3)</f>
        <v>0.0001</v>
      </c>
      <c r="AU23" s="235">
        <f>IF(Z23="  ",0+MID(Z$6,FIND("V",Z$6)+1,256)/10000,Z23+MID(Z$6,FIND("V",Z$6)+1,256)/10000)</f>
        <v>0.0001</v>
      </c>
      <c r="AV23" s="235">
        <f>IF(AA23="  ",0+MID(AA$6,FIND("V",AA$6)+1,256)/10000,AA23+MID(AA$6,FIND("V",AA$6)+1,256)/10000)</f>
        <v>0.0002</v>
      </c>
      <c r="AW23" s="235">
        <f>IF(AB23="  ",0+MID(AB$6,FIND("V",AB$6)+1,256)/10000,AB23+MID(AB$6,FIND("V",AB$6)+1,256)/10000)</f>
        <v>0.0003</v>
      </c>
      <c r="AX23" s="235">
        <f>IF(AC23="  ",0+MID(AC$6,FIND("V",AC$6)+1,256)/10000,AC23+MID(AC$6,FIND("V",AC$6)+1,256)/10000)</f>
        <v>0.0004</v>
      </c>
      <c r="AY23" s="235">
        <f>IF(AD23="  ",0+MID(AD$6,FIND("V",AD$6)+1,256)/10000,AD23+MID(AD$6,FIND("V",AD$6)+1,256)/10000)</f>
        <v>32.0005</v>
      </c>
      <c r="AZ23" s="235">
        <f>IF(AE23="  ",0+MID(AE$6,FIND("V",AE$6)+1,256)/10000,AE23+MID(AE$6,FIND("V",AE$6)+1,256)/10000)</f>
        <v>24.0006</v>
      </c>
      <c r="BA23" s="235">
        <f>IF(AF23="  ",0+MID(AF$6,FIND("V",AF$6)+1,256)/10000,AF23+MID(AF$6,FIND("V",AF$6)+1,256)/10000)</f>
        <v>14.0007</v>
      </c>
      <c r="BB23" s="235">
        <f>IF(AG23="  ",0+MID(AG$6,FIND("V",AG$6)+1,256)/10000,AG23+MID(AG$6,FIND("V",AG$6)+1,256)/10000)</f>
        <v>16.0008</v>
      </c>
      <c r="BC23" s="235">
        <f>IF(AH23="  ",0+MID(AH$6,FIND("V",AH$6)+1,256)/10000,AH23+MID(AH$6,FIND("V",AH$6)+1,256)/10000)</f>
        <v>0.0009</v>
      </c>
      <c r="BD23" s="235">
        <f>IF(AI23="  ",0+MID(AI$6,FIND("V",AI$6)+1,256)/10000,AI23+MID(AI$6,FIND("V",AI$6)+1,256)/10000)</f>
        <v>0.001</v>
      </c>
      <c r="BE23" s="233"/>
      <c r="BF23" s="233"/>
      <c r="BG23" s="233"/>
      <c r="BH23" s="233"/>
      <c r="BI23" s="3" t="e">
        <f>(LARGE(Z$7:Z$126,1)-Z23)/2+1</f>
        <v>#VALUE!</v>
      </c>
      <c r="BJ23" s="3" t="e">
        <f>(LARGE(AA$7:AA$126,1)-AA23)/2+1</f>
        <v>#VALUE!</v>
      </c>
      <c r="BK23" s="3" t="e">
        <f>(LARGE(AB$7:AB$126,1)-AB23)/2+1</f>
        <v>#VALUE!</v>
      </c>
      <c r="BL23" s="3" t="e">
        <f>(LARGE(AC$7:AC$126,1)-AC23)/2+1</f>
        <v>#VALUE!</v>
      </c>
      <c r="BM23" s="3">
        <f>(LARGE(AD$7:AD$126,1)-AD23)/2+1</f>
        <v>5</v>
      </c>
      <c r="BN23" s="3">
        <f>(LARGE(AE$7:AE$126,1)-AE23)/2+1</f>
        <v>3</v>
      </c>
      <c r="BO23" s="3">
        <f>(LARGE(AF$7:AF$126,1)-AF23)/2+1</f>
        <v>8</v>
      </c>
      <c r="BP23" s="3">
        <f>(LARGE(AG$7:AG$126,1)-AG23)/2+1</f>
        <v>6</v>
      </c>
      <c r="BQ23" s="3" t="e">
        <f>(LARGE(AH$7:AH$126,1)-AH23)/2+1</f>
        <v>#NUM!</v>
      </c>
      <c r="BR23" s="3" t="e">
        <f>(LARGE(AI$7:AI$126,1)-AI23)/2+1</f>
        <v>#NUM!</v>
      </c>
    </row>
    <row r="24" spans="1:70">
      <c r="A24" s="139">
        <f>IF(R24&gt;0,IF(Q24="Viru SK",RANK(B24,B$7:B$126,1)-COUNTIF((Q$7:Q$126),"&lt;&gt;Viru SK"),""),"")</f>
        <v>14</v>
      </c>
      <c r="B24" s="140">
        <f>IF((Q24="Viru SK"),U24,U24-1000)</f>
        <v>18</v>
      </c>
      <c r="C24" s="141" t="str">
        <f>IF(R24&gt;0,IF(P24="t",RANK(D24,D$7:D$126,1)-COUNTBLANK(P$7:P$126),""),"")</f>
        <v/>
      </c>
      <c r="D24" s="142">
        <f>IF((P24="t"),U24,U24-1000)</f>
        <v>-982</v>
      </c>
      <c r="E24" s="143" t="str">
        <f>IF(R24&gt;0,IF(N24="m",RANK(F24,F$7:F$126,1)-COUNTBLANK(N$7:N$126),""),"")</f>
        <v/>
      </c>
      <c r="F24" s="144">
        <f>IF((N24="m"),U24,U24-1000)</f>
        <v>-982</v>
      </c>
      <c r="G24" s="145">
        <f>IF(R24&gt;0,IF(M24="n",RANK(H24,H$7:H$126,1)-COUNTBLANK(M$7:M$126),""),"")</f>
        <v>3</v>
      </c>
      <c r="H24" s="144">
        <f>IF((M24="n"),U24,U24-1000)</f>
        <v>18</v>
      </c>
      <c r="I24" s="160" t="str">
        <f>IF(R24&gt;0,IF(O24="j",RANK(J24,J$7:J$126,1)-COUNTBLANK(O$7:O$126),""),"")</f>
        <v/>
      </c>
      <c r="J24" s="161">
        <f>IF((O24="j"),U24,U24-1000)</f>
        <v>-982</v>
      </c>
      <c r="K24" s="162">
        <f>IF(R24&gt;0,RANK(U24,U$7:U$126,1),"")</f>
        <v>18</v>
      </c>
      <c r="L24" s="175" t="s">
        <v>215</v>
      </c>
      <c r="M24" s="164" t="s">
        <v>203</v>
      </c>
      <c r="N24" s="165" t="str">
        <f>IF(M24="","m","")</f>
        <v/>
      </c>
      <c r="O24" s="166"/>
      <c r="P24" s="167"/>
      <c r="Q24" s="192" t="s">
        <v>171</v>
      </c>
      <c r="R24" s="154">
        <f>(IF(COUNT(Z24,AA24,AB24,AC24,AD24,AE24,AF24,AG24,AH24,AI24)&lt;10,SUM(Z24,AA24,AB24,AC24,AD24,AE24,AF24,AG24,AH24,AI24),SUM(LARGE((Z24,AA24,AB24,AC24,AD24,AE24,AF24,AG24,AH24,AI24),{1;2;3;4;5;6;7;8;9}))))</f>
        <v>82</v>
      </c>
      <c r="S24" s="193" t="str">
        <f>INDEX(ETAPP!B$1:B$32,MATCH(COUNTIF(BI24:BR24,1),ETAPP!A$1:A$32,0))&amp;INDEX(ETAPP!B$1:B$32,MATCH(COUNTIF(BI24:BR24,2),ETAPP!A$1:A$32,0))&amp;INDEX(ETAPP!B$1:B$32,MATCH(COUNTIF(BI24:BR24,3),ETAPP!A$1:A$32,0))&amp;INDEX(ETAPP!B$1:B$32,MATCH(COUNTIF(BI24:BR24,4),ETAPP!A$1:A$32,0))&amp;INDEX(ETAPP!B$1:B$32,MATCH(COUNTIF(BI24:BR24,5),ETAPP!A$1:A$32,0))&amp;INDEX(ETAPP!B$1:B$32,MATCH(COUNTIF(BI24:BR24,6),ETAPP!A$1:A$32,0))&amp;INDEX(ETAPP!B$1:B$32,MATCH(COUNTIF(BI24:BR24,7),ETAPP!A$1:A$32,0))&amp;INDEX(ETAPP!B$1:B$32,MATCH(COUNTIF(BI24:BR24,8),ETAPP!A$1:A$32,0))&amp;INDEX(ETAPP!B$1:B$32,MATCH(COUNTIF(BI24:BR24,9),ETAPP!A$1:A$32,0))&amp;INDEX(ETAPP!B$1:B$32,MATCH(COUNTIF(BI24:BR24,10),ETAPP!A$1:A$32,0))&amp;INDEX(ETAPP!B$1:B$32,MATCH(COUNTIF(BI24:BR24,11),ETAPP!A$1:A$32,0))&amp;INDEX(ETAPP!B$1:B$32,MATCH(COUNTIF(BI24:BR24,12),ETAPP!A$1:A$32,0))&amp;INDEX(ETAPP!B$1:B$32,MATCH(COUNTIF(BI24:BR24,13),ETAPP!A$1:A$32,0))&amp;INDEX(ETAPP!B$1:B$32,MATCH(COUNTIF(BI24:BR24,14),ETAPP!A$1:A$32,0))&amp;INDEX(ETAPP!B$1:B$32,MATCH(COUNTIF(BI24:BR24,15),ETAPP!A$1:A$32,0))&amp;INDEX(ETAPP!B$1:B$32,MATCH(COUNTIF(BI24:BR24,16),ETAPP!A$1:A$32,0))&amp;INDEX(ETAPP!B$1:B$32,MATCH(COUNTIF(BI24:BR24,17),ETAPP!A$1:A$32,0))&amp;INDEX(ETAPP!B$1:B$32,MATCH(COUNTIF(BI24:BR24,18),ETAPP!A$1:A$32,0))&amp;INDEX(ETAPP!B$1:B$32,MATCH(COUNTIF(BI24:BR24,19),ETAPP!A$1:A$32,0))&amp;INDEX(ETAPP!B$1:B$32,MATCH(COUNTIF(BI24:BR24,20),ETAPP!A$1:A$32,0))&amp;INDEX(ETAPP!B$1:B$32,MATCH(COUNTIF(BI24:BR24,21),ETAPP!A$1:A$32,0))</f>
        <v>000AAA0AA000000A00000</v>
      </c>
      <c r="T24" s="193" t="str">
        <f>TEXT(R24,"000,0")&amp;"-"&amp;S24</f>
        <v>082,0-000AAA0AA000000A00000</v>
      </c>
      <c r="U24" s="193">
        <f>COUNTIF(T$7:T$126,"&gt;="&amp;T24)</f>
        <v>18</v>
      </c>
      <c r="V24" s="193">
        <f>COUNTIF(L$7:L$126,"&gt;="&amp;L24)</f>
        <v>23</v>
      </c>
      <c r="W24" s="193" t="str">
        <f>TEXT(R24,"000,0")&amp;"-"&amp;S24&amp;"-"&amp;TEXT(V24,"000")</f>
        <v>082,0-000AAA0AA000000A00000-023</v>
      </c>
      <c r="X24" s="193">
        <f>COUNTIF(W$7:W$126,"&gt;="&amp;W24)</f>
        <v>18</v>
      </c>
      <c r="Y24" s="201">
        <f>RANK(X24,X$7:X$126,0)</f>
        <v>103</v>
      </c>
      <c r="Z24" s="202">
        <f>IFERROR(INDEX('V1'!C$300:C$400,MATCH("*"&amp;L24&amp;"*",'V1'!B$300:B$400,0)),"  ")</f>
        <v>2</v>
      </c>
      <c r="AA24" s="202" t="str">
        <f>IFERROR(INDEX('V2'!C$300:C$400,MATCH("*"&amp;L24&amp;"*",'V2'!B$300:B$400,0)),"  ")</f>
        <v>  </v>
      </c>
      <c r="AB24" s="202">
        <f>IFERROR(INDEX('V3'!C$300:C$400,MATCH("*"&amp;L24&amp;"*",'V3'!B$300:B$400,0)),"  ")</f>
        <v>12</v>
      </c>
      <c r="AC24" s="202">
        <f>IFERROR(INDEX('V4'!C$300:C$400,MATCH("*"&amp;L24&amp;"*",'V4'!B$300:B$400,0)),"  ")</f>
        <v>18</v>
      </c>
      <c r="AD24" s="203">
        <f>IFERROR(INDEX('V5'!C$300:C$400,MATCH("*"&amp;L24&amp;"*",'V5'!B$300:B$400,0)),"  ")</f>
        <v>10</v>
      </c>
      <c r="AE24" s="202" t="str">
        <f>IFERROR(INDEX('V6'!C$300:C$400,MATCH("*"&amp;L24&amp;"*",'V6'!B$300:B$400,0)),"  ")</f>
        <v>  </v>
      </c>
      <c r="AF24" s="202">
        <f>IFERROR(INDEX('V7'!C$300:C$400,MATCH("*"&amp;L24&amp;"*",'V7'!B$300:B$400,0)),"  ")</f>
        <v>20</v>
      </c>
      <c r="AG24" s="202">
        <f>IFERROR(INDEX('V8'!C$300:C$400,MATCH("*"&amp;L24&amp;"*",'V8'!B$300:B$400,0)),"  ")</f>
        <v>20</v>
      </c>
      <c r="AH24" s="202"/>
      <c r="AI24" s="202"/>
      <c r="AJ24" s="222">
        <f>IF(AN24&gt;(AT$2-1),K24,"")</f>
        <v>18</v>
      </c>
      <c r="AK24" s="223">
        <f>SUM(Z24:AI24)</f>
        <v>82</v>
      </c>
      <c r="AL24" s="224" t="str">
        <f>IFERROR("edasi "&amp;RANK(AJ24,AJ$7:AJ$126,1),K24)</f>
        <v>edasi 18</v>
      </c>
      <c r="AM24" s="225" t="str">
        <f>IFERROR(INDEX(#REF!,MATCH("*"&amp;L24&amp;"*",#REF!,0)),"  ")</f>
        <v>  </v>
      </c>
      <c r="AN24" s="226">
        <f>COUNTIF(Z24:AI24,"&gt;=0")</f>
        <v>6</v>
      </c>
      <c r="AO24" s="126">
        <f>IFERROR(IF(Z24+1&gt;LARGE(Z$7:Z$126,1)-2*LEN(Z$5),1),0)+IFERROR(IF(AA24+1&gt;LARGE(AA$7:AA$126,1)-2*LEN(AA$5),1),0)+IFERROR(IF(AB24+1&gt;LARGE(AB$7:AB$126,1)-2*LEN(AB$5),1),0)+IFERROR(IF(AC24+1&gt;LARGE(AC$7:AC$126,1)-2*LEN(AC$5),1),0)+IFERROR(IF(AD24+1&gt;LARGE(AD$7:AD$126,1)-2*LEN(AD$5),1),0)+IFERROR(IF(AE24+1&gt;LARGE(AE$7:AE$126,1)-2*LEN(AE$5),1),0)+IFERROR(IF(AF24+1&gt;LARGE(AF$7:AF$126,1)-2*LEN(AF$5),1),0)+IFERROR(IF(AG24+1&gt;LARGE(AG$7:AG$126,1)-2*LEN(AG$5),1),0)+IFERROR(IF(AH24+1&gt;LARGE(AH$7:AH$126,1)-2*LEN(AH$5),1),0)+IFERROR(IF(AI24+1&gt;LARGE(AI$7:AI$126,1)-2*LEN(AI$5),1),0)</f>
        <v>0</v>
      </c>
      <c r="AP24" s="126">
        <f>IF(Z24=0,0,IF(Z24=IFERROR(LARGE(Z$7:Z$126,1),0),1,0))+IF(AA24=0,0,IF(AA24=IFERROR(LARGE(AA$7:AA$126,1),0),1,0))+IF(AB24=0,0,IF(AB24=IFERROR(LARGE(AB$7:AB$126,1),0),1,0))+IF(AC24=0,0,IF(AC24=IFERROR(LARGE(AC$7:AC$126,1),0),1,0))+IF(AD24=0,0,IF(AD24=IFERROR(LARGE(AD$7:AD$126,1),0),1,0))+IF(AE24=0,0,IF(AE24=IFERROR(LARGE(AE$7:AE$126,1),0),1,0))+IF(AF24=0,0,IF(AF24=IFERROR(LARGE(AF$7:AF$126,1),0),1,0))+IF(AG24=0,0,IF(AG24=IFERROR(LARGE(AG$7:AG$126,1),0),1,0))+IF(AH24=0,0,IF(AH24=IFERROR(LARGE(AH$7:AH$126,1),0),1,0))+IF(AI24=0,0,IF(AI24=IFERROR(LARGE(AI$7:AI$126,1),0),1,0))</f>
        <v>0</v>
      </c>
      <c r="AQ24" s="233"/>
      <c r="AR24" s="233"/>
      <c r="AS24" s="233"/>
      <c r="AT24" s="234">
        <f>SMALL(AU24:BD24,AT$3)</f>
        <v>0.0002</v>
      </c>
      <c r="AU24" s="235">
        <f>IF(Z24="  ",0+MID(Z$6,FIND("V",Z$6)+1,256)/10000,Z24+MID(Z$6,FIND("V",Z$6)+1,256)/10000)</f>
        <v>2.0001</v>
      </c>
      <c r="AV24" s="235">
        <f>IF(AA24="  ",0+MID(AA$6,FIND("V",AA$6)+1,256)/10000,AA24+MID(AA$6,FIND("V",AA$6)+1,256)/10000)</f>
        <v>0.0002</v>
      </c>
      <c r="AW24" s="235">
        <f>IF(AB24="  ",0+MID(AB$6,FIND("V",AB$6)+1,256)/10000,AB24+MID(AB$6,FIND("V",AB$6)+1,256)/10000)</f>
        <v>12.0003</v>
      </c>
      <c r="AX24" s="235">
        <f>IF(AC24="  ",0+MID(AC$6,FIND("V",AC$6)+1,256)/10000,AC24+MID(AC$6,FIND("V",AC$6)+1,256)/10000)</f>
        <v>18.0004</v>
      </c>
      <c r="AY24" s="235">
        <f>IF(AD24="  ",0+MID(AD$6,FIND("V",AD$6)+1,256)/10000,AD24+MID(AD$6,FIND("V",AD$6)+1,256)/10000)</f>
        <v>10.0005</v>
      </c>
      <c r="AZ24" s="235">
        <f>IF(AE24="  ",0+MID(AE$6,FIND("V",AE$6)+1,256)/10000,AE24+MID(AE$6,FIND("V",AE$6)+1,256)/10000)</f>
        <v>0.0006</v>
      </c>
      <c r="BA24" s="235">
        <f>IF(AF24="  ",0+MID(AF$6,FIND("V",AF$6)+1,256)/10000,AF24+MID(AF$6,FIND("V",AF$6)+1,256)/10000)</f>
        <v>20.0007</v>
      </c>
      <c r="BB24" s="235">
        <f>IF(AG24="  ",0+MID(AG$6,FIND("V",AG$6)+1,256)/10000,AG24+MID(AG$6,FIND("V",AG$6)+1,256)/10000)</f>
        <v>20.0008</v>
      </c>
      <c r="BC24" s="235">
        <f>IF(AH24="  ",0+MID(AH$6,FIND("V",AH$6)+1,256)/10000,AH24+MID(AH$6,FIND("V",AH$6)+1,256)/10000)</f>
        <v>0.0009</v>
      </c>
      <c r="BD24" s="235">
        <f>IF(AI24="  ",0+MID(AI$6,FIND("V",AI$6)+1,256)/10000,AI24+MID(AI$6,FIND("V",AI$6)+1,256)/10000)</f>
        <v>0.001</v>
      </c>
      <c r="BE24" s="233"/>
      <c r="BF24" s="233"/>
      <c r="BG24" s="233"/>
      <c r="BH24" s="233"/>
      <c r="BI24" s="3">
        <f>(LARGE(Z$7:Z$126,1)-Z24)/2+1</f>
        <v>9</v>
      </c>
      <c r="BJ24" s="3" t="e">
        <f>(LARGE(AA$7:AA$126,1)-AA24)/2+1</f>
        <v>#VALUE!</v>
      </c>
      <c r="BK24" s="3">
        <f>(LARGE(AB$7:AB$126,1)-AB24)/2+1</f>
        <v>8</v>
      </c>
      <c r="BL24" s="3">
        <f>(LARGE(AC$7:AC$126,1)-AC24)/2+1</f>
        <v>6</v>
      </c>
      <c r="BM24" s="3">
        <f>(LARGE(AD$7:AD$126,1)-AD24)/2+1</f>
        <v>16</v>
      </c>
      <c r="BN24" s="3" t="e">
        <f>(LARGE(AE$7:AE$126,1)-AE24)/2+1</f>
        <v>#VALUE!</v>
      </c>
      <c r="BO24" s="3">
        <f>(LARGE(AF$7:AF$126,1)-AF24)/2+1</f>
        <v>5</v>
      </c>
      <c r="BP24" s="3">
        <f>(LARGE(AG$7:AG$126,1)-AG24)/2+1</f>
        <v>4</v>
      </c>
      <c r="BQ24" s="3" t="e">
        <f>(LARGE(AH$7:AH$126,1)-AH24)/2+1</f>
        <v>#NUM!</v>
      </c>
      <c r="BR24" s="3" t="e">
        <f>(LARGE(AI$7:AI$126,1)-AI24)/2+1</f>
        <v>#NUM!</v>
      </c>
    </row>
    <row r="25" spans="1:70">
      <c r="A25" s="139" t="str">
        <f>IF(R25&gt;0,IF(Q25="Viru SK",RANK(B25,B$7:B$126,1)-COUNTIF((Q$7:Q$126),"&lt;&gt;Viru SK"),""),"")</f>
        <v/>
      </c>
      <c r="B25" s="140">
        <f>IF((Q25="Viru SK"),U25,U25-1000)</f>
        <v>-980</v>
      </c>
      <c r="C25" s="141">
        <f>IF(R25&gt;0,IF(P25="t",RANK(D25,D$7:D$126,1)-COUNTBLANK(P$7:P$126),""),"")</f>
        <v>8</v>
      </c>
      <c r="D25" s="142">
        <f>IF((P25="t"),U25,U25-1000)</f>
        <v>20</v>
      </c>
      <c r="E25" s="143">
        <f>IF(R25&gt;0,IF(N25="m",RANK(F25,F$7:F$126,1)-COUNTBLANK(N$7:N$126),""),"")</f>
        <v>17</v>
      </c>
      <c r="F25" s="144">
        <f>IF((N25="m"),U25,U25-1000)</f>
        <v>20</v>
      </c>
      <c r="G25" s="145" t="str">
        <f>IF(R25&gt;0,IF(M25="n",RANK(H25,H$7:H$126,1)-COUNTBLANK(M$7:M$126),""),"")</f>
        <v/>
      </c>
      <c r="H25" s="144">
        <f>IF((M25="n"),U25,U25-1000)</f>
        <v>-980</v>
      </c>
      <c r="I25" s="160" t="str">
        <f>IF(R25&gt;0,IF(O25="j",RANK(J25,J$7:J$126,1)-COUNTBLANK(O$7:O$126),""),"")</f>
        <v/>
      </c>
      <c r="J25" s="161">
        <f>IF((O25="j"),U25,U25-1000)</f>
        <v>-980</v>
      </c>
      <c r="K25" s="162">
        <f>IF(R25&gt;0,RANK(U25,U$7:U$126,1),"")</f>
        <v>19</v>
      </c>
      <c r="L25" s="163" t="s">
        <v>216</v>
      </c>
      <c r="M25" s="164"/>
      <c r="N25" s="165" t="s">
        <v>193</v>
      </c>
      <c r="O25" s="166"/>
      <c r="P25" s="167" t="s">
        <v>196</v>
      </c>
      <c r="Q25" s="192"/>
      <c r="R25" s="154">
        <f>(IF(COUNT(Z25,AA25,AB25,AC25,AD25,AE25,AF25,AG25,AH25,AI25)&lt;10,SUM(Z25,AA25,AB25,AC25,AD25,AE25,AF25,AG25,AH25,AI25),SUM(LARGE((Z25,AA25,AB25,AC25,AD25,AE25,AF25,AG25,AH25,AI25),{1;2;3;4;5;6;7;8;9}))))</f>
        <v>78</v>
      </c>
      <c r="S25" s="193" t="str">
        <f>INDEX(ETAPP!B$1:B$32,MATCH(COUNTIF(BI25:BR25,1),ETAPP!A$1:A$32,0))&amp;INDEX(ETAPP!B$1:B$32,MATCH(COUNTIF(BI25:BR25,2),ETAPP!A$1:A$32,0))&amp;INDEX(ETAPP!B$1:B$32,MATCH(COUNTIF(BI25:BR25,3),ETAPP!A$1:A$32,0))&amp;INDEX(ETAPP!B$1:B$32,MATCH(COUNTIF(BI25:BR25,4),ETAPP!A$1:A$32,0))&amp;INDEX(ETAPP!B$1:B$32,MATCH(COUNTIF(BI25:BR25,5),ETAPP!A$1:A$32,0))&amp;INDEX(ETAPP!B$1:B$32,MATCH(COUNTIF(BI25:BR25,6),ETAPP!A$1:A$32,0))&amp;INDEX(ETAPP!B$1:B$32,MATCH(COUNTIF(BI25:BR25,7),ETAPP!A$1:A$32,0))&amp;INDEX(ETAPP!B$1:B$32,MATCH(COUNTIF(BI25:BR25,8),ETAPP!A$1:A$32,0))&amp;INDEX(ETAPP!B$1:B$32,MATCH(COUNTIF(BI25:BR25,9),ETAPP!A$1:A$32,0))&amp;INDEX(ETAPP!B$1:B$32,MATCH(COUNTIF(BI25:BR25,10),ETAPP!A$1:A$32,0))&amp;INDEX(ETAPP!B$1:B$32,MATCH(COUNTIF(BI25:BR25,11),ETAPP!A$1:A$32,0))&amp;INDEX(ETAPP!B$1:B$32,MATCH(COUNTIF(BI25:BR25,12),ETAPP!A$1:A$32,0))&amp;INDEX(ETAPP!B$1:B$32,MATCH(COUNTIF(BI25:BR25,13),ETAPP!A$1:A$32,0))&amp;INDEX(ETAPP!B$1:B$32,MATCH(COUNTIF(BI25:BR25,14),ETAPP!A$1:A$32,0))&amp;INDEX(ETAPP!B$1:B$32,MATCH(COUNTIF(BI25:BR25,15),ETAPP!A$1:A$32,0))&amp;INDEX(ETAPP!B$1:B$32,MATCH(COUNTIF(BI25:BR25,16),ETAPP!A$1:A$32,0))&amp;INDEX(ETAPP!B$1:B$32,MATCH(COUNTIF(BI25:BR25,17),ETAPP!A$1:A$32,0))&amp;INDEX(ETAPP!B$1:B$32,MATCH(COUNTIF(BI25:BR25,18),ETAPP!A$1:A$32,0))&amp;INDEX(ETAPP!B$1:B$32,MATCH(COUNTIF(BI25:BR25,19),ETAPP!A$1:A$32,0))&amp;INDEX(ETAPP!B$1:B$32,MATCH(COUNTIF(BI25:BR25,20),ETAPP!A$1:A$32,0))&amp;INDEX(ETAPP!B$1:B$32,MATCH(COUNTIF(BI25:BR25,21),ETAPP!A$1:A$32,0))</f>
        <v>000A0000CA00000000000</v>
      </c>
      <c r="T25" s="193" t="str">
        <f>TEXT(R25,"000,0")&amp;"-"&amp;S25</f>
        <v>078,0-000A0000CA00000000000</v>
      </c>
      <c r="U25" s="193">
        <f>COUNTIF(T$7:T$126,"&gt;="&amp;T25)</f>
        <v>20</v>
      </c>
      <c r="V25" s="193">
        <f>COUNTIF(L$7:L$126,"&gt;="&amp;L25)</f>
        <v>31</v>
      </c>
      <c r="W25" s="193" t="str">
        <f>TEXT(R25,"000,0")&amp;"-"&amp;S25&amp;"-"&amp;TEXT(V25,"000")</f>
        <v>078,0-000A0000CA00000000000-031</v>
      </c>
      <c r="X25" s="193">
        <f>COUNTIF(W$7:W$126,"&gt;="&amp;W25)</f>
        <v>19</v>
      </c>
      <c r="Y25" s="201">
        <f>RANK(X25,X$7:X$126,0)</f>
        <v>102</v>
      </c>
      <c r="Z25" s="202" t="str">
        <f>IFERROR(INDEX('V1'!C$300:C$400,MATCH("*"&amp;L25&amp;"*",'V1'!B$300:B$400,0)),"  ")</f>
        <v>  </v>
      </c>
      <c r="AA25" s="202" t="str">
        <f>IFERROR(INDEX('V2'!C$300:C$400,MATCH("*"&amp;L25&amp;"*",'V2'!B$300:B$400,0)),"  ")</f>
        <v>  </v>
      </c>
      <c r="AB25" s="202" t="str">
        <f>IFERROR(INDEX('V3'!C$300:C$400,MATCH("*"&amp;L25&amp;"*",'V3'!B$300:B$400,0)),"  ")</f>
        <v>  </v>
      </c>
      <c r="AC25" s="202">
        <f>IFERROR(INDEX('V4'!C$300:C$400,MATCH("*"&amp;L25&amp;"*",'V4'!B$300:B$400,0)),"  ")</f>
        <v>10</v>
      </c>
      <c r="AD25" s="202">
        <f>IFERROR(INDEX('V5'!C$300:C$400,MATCH("*"&amp;L25&amp;"*",'V5'!B$300:B$400,0)),"  ")</f>
        <v>34</v>
      </c>
      <c r="AE25" s="202">
        <f>IFERROR(INDEX('V6'!C$300:C$400,MATCH("*"&amp;L25&amp;"*",'V6'!B$300:B$400,0)),"  ")</f>
        <v>12</v>
      </c>
      <c r="AF25" s="202">
        <f>IFERROR(INDEX('V7'!C$300:C$400,MATCH("*"&amp;L25&amp;"*",'V7'!B$300:B$400,0)),"  ")</f>
        <v>12</v>
      </c>
      <c r="AG25" s="202">
        <f>IFERROR(INDEX('V8'!C$300:C$400,MATCH("*"&amp;L25&amp;"*",'V8'!B$300:B$400,0)),"  ")</f>
        <v>10</v>
      </c>
      <c r="AH25" s="202"/>
      <c r="AI25" s="202"/>
      <c r="AJ25" s="222">
        <f>IF(AN25&gt;(AT$2-1),K25,"")</f>
        <v>19</v>
      </c>
      <c r="AK25" s="223">
        <f>SUM(Z25:AI25)</f>
        <v>78</v>
      </c>
      <c r="AL25" s="224" t="str">
        <f>IFERROR("edasi "&amp;RANK(AJ25,AJ$7:AJ$126,1),K25)</f>
        <v>edasi 19</v>
      </c>
      <c r="AM25" s="225" t="str">
        <f>IFERROR(INDEX(#REF!,MATCH("*"&amp;L25&amp;"*",#REF!,0)),"  ")</f>
        <v>  </v>
      </c>
      <c r="AN25" s="226">
        <f>COUNTIF(Z25:AI25,"&gt;=0")</f>
        <v>5</v>
      </c>
      <c r="AO25" s="126">
        <f>IFERROR(IF(Z25+1&gt;LARGE(Z$7:Z$126,1)-2*LEN(Z$5),1),0)+IFERROR(IF(AA25+1&gt;LARGE(AA$7:AA$126,1)-2*LEN(AA$5),1),0)+IFERROR(IF(AB25+1&gt;LARGE(AB$7:AB$126,1)-2*LEN(AB$5),1),0)+IFERROR(IF(AC25+1&gt;LARGE(AC$7:AC$126,1)-2*LEN(AC$5),1),0)+IFERROR(IF(AD25+1&gt;LARGE(AD$7:AD$126,1)-2*LEN(AD$5),1),0)+IFERROR(IF(AE25+1&gt;LARGE(AE$7:AE$126,1)-2*LEN(AE$5),1),0)+IFERROR(IF(AF25+1&gt;LARGE(AF$7:AF$126,1)-2*LEN(AF$5),1),0)+IFERROR(IF(AG25+1&gt;LARGE(AG$7:AG$126,1)-2*LEN(AG$5),1),0)+IFERROR(IF(AH25+1&gt;LARGE(AH$7:AH$126,1)-2*LEN(AH$5),1),0)+IFERROR(IF(AI25+1&gt;LARGE(AI$7:AI$126,1)-2*LEN(AI$5),1),0)</f>
        <v>0</v>
      </c>
      <c r="AP25" s="126">
        <f>IF(Z25=0,0,IF(Z25=IFERROR(LARGE(Z$7:Z$126,1),0),1,0))+IF(AA25=0,0,IF(AA25=IFERROR(LARGE(AA$7:AA$126,1),0),1,0))+IF(AB25=0,0,IF(AB25=IFERROR(LARGE(AB$7:AB$126,1),0),1,0))+IF(AC25=0,0,IF(AC25=IFERROR(LARGE(AC$7:AC$126,1),0),1,0))+IF(AD25=0,0,IF(AD25=IFERROR(LARGE(AD$7:AD$126,1),0),1,0))+IF(AE25=0,0,IF(AE25=IFERROR(LARGE(AE$7:AE$126,1),0),1,0))+IF(AF25=0,0,IF(AF25=IFERROR(LARGE(AF$7:AF$126,1),0),1,0))+IF(AG25=0,0,IF(AG25=IFERROR(LARGE(AG$7:AG$126,1),0),1,0))+IF(AH25=0,0,IF(AH25=IFERROR(LARGE(AH$7:AH$126,1),0),1,0))+IF(AI25=0,0,IF(AI25=IFERROR(LARGE(AI$7:AI$126,1),0),1,0))</f>
        <v>0</v>
      </c>
      <c r="AQ25" s="233"/>
      <c r="AR25" s="233"/>
      <c r="AS25" s="233"/>
      <c r="AT25" s="234">
        <f>SMALL(AU25:BD25,AT$3)</f>
        <v>0.0001</v>
      </c>
      <c r="AU25" s="235">
        <f>IF(Z25="  ",0+MID(Z$6,FIND("V",Z$6)+1,256)/10000,Z25+MID(Z$6,FIND("V",Z$6)+1,256)/10000)</f>
        <v>0.0001</v>
      </c>
      <c r="AV25" s="235">
        <f>IF(AA25="  ",0+MID(AA$6,FIND("V",AA$6)+1,256)/10000,AA25+MID(AA$6,FIND("V",AA$6)+1,256)/10000)</f>
        <v>0.0002</v>
      </c>
      <c r="AW25" s="235">
        <f>IF(AB25="  ",0+MID(AB$6,FIND("V",AB$6)+1,256)/10000,AB25+MID(AB$6,FIND("V",AB$6)+1,256)/10000)</f>
        <v>0.0003</v>
      </c>
      <c r="AX25" s="235">
        <f>IF(AC25="  ",0+MID(AC$6,FIND("V",AC$6)+1,256)/10000,AC25+MID(AC$6,FIND("V",AC$6)+1,256)/10000)</f>
        <v>10.0004</v>
      </c>
      <c r="AY25" s="235">
        <f>IF(AD25="  ",0+MID(AD$6,FIND("V",AD$6)+1,256)/10000,AD25+MID(AD$6,FIND("V",AD$6)+1,256)/10000)</f>
        <v>34.0005</v>
      </c>
      <c r="AZ25" s="235">
        <f>IF(AE25="  ",0+MID(AE$6,FIND("V",AE$6)+1,256)/10000,AE25+MID(AE$6,FIND("V",AE$6)+1,256)/10000)</f>
        <v>12.0006</v>
      </c>
      <c r="BA25" s="235">
        <f>IF(AF25="  ",0+MID(AF$6,FIND("V",AF$6)+1,256)/10000,AF25+MID(AF$6,FIND("V",AF$6)+1,256)/10000)</f>
        <v>12.0007</v>
      </c>
      <c r="BB25" s="235">
        <f>IF(AG25="  ",0+MID(AG$6,FIND("V",AG$6)+1,256)/10000,AG25+MID(AG$6,FIND("V",AG$6)+1,256)/10000)</f>
        <v>10.0008</v>
      </c>
      <c r="BC25" s="235">
        <f>IF(AH25="  ",0+MID(AH$6,FIND("V",AH$6)+1,256)/10000,AH25+MID(AH$6,FIND("V",AH$6)+1,256)/10000)</f>
        <v>0.0009</v>
      </c>
      <c r="BD25" s="235">
        <f>IF(AI25="  ",0+MID(AI$6,FIND("V",AI$6)+1,256)/10000,AI25+MID(AI$6,FIND("V",AI$6)+1,256)/10000)</f>
        <v>0.001</v>
      </c>
      <c r="BE25" s="233"/>
      <c r="BF25" s="233"/>
      <c r="BG25" s="233"/>
      <c r="BH25" s="233"/>
      <c r="BI25" s="3" t="e">
        <f>(LARGE(Z$7:Z$126,1)-Z25)/2+1</f>
        <v>#VALUE!</v>
      </c>
      <c r="BJ25" s="3" t="e">
        <f>(LARGE(AA$7:AA$126,1)-AA25)/2+1</f>
        <v>#VALUE!</v>
      </c>
      <c r="BK25" s="3" t="e">
        <f>(LARGE(AB$7:AB$126,1)-AB25)/2+1</f>
        <v>#VALUE!</v>
      </c>
      <c r="BL25" s="3">
        <f>(LARGE(AC$7:AC$126,1)-AC25)/2+1</f>
        <v>10</v>
      </c>
      <c r="BM25" s="3">
        <f>(LARGE(AD$7:AD$126,1)-AD25)/2+1</f>
        <v>4</v>
      </c>
      <c r="BN25" s="3">
        <f>(LARGE(AE$7:AE$126,1)-AE25)/2+1</f>
        <v>9</v>
      </c>
      <c r="BO25" s="3">
        <f>(LARGE(AF$7:AF$126,1)-AF25)/2+1</f>
        <v>9</v>
      </c>
      <c r="BP25" s="3">
        <f>(LARGE(AG$7:AG$126,1)-AG25)/2+1</f>
        <v>9</v>
      </c>
      <c r="BQ25" s="3" t="e">
        <f>(LARGE(AH$7:AH$126,1)-AH25)/2+1</f>
        <v>#NUM!</v>
      </c>
      <c r="BR25" s="3" t="e">
        <f>(LARGE(AI$7:AI$126,1)-AI25)/2+1</f>
        <v>#NUM!</v>
      </c>
    </row>
    <row r="26" spans="1:70">
      <c r="A26" s="139" t="str">
        <f>IF(R26&gt;0,IF(Q26="Viru SK",RANK(B26,B$7:B$126,1)-COUNTIF((Q$7:Q$126),"&lt;&gt;Viru SK"),""),"")</f>
        <v/>
      </c>
      <c r="B26" s="140">
        <f>IF((Q26="Viru SK"),U26,U26-1000)</f>
        <v>-980</v>
      </c>
      <c r="C26" s="141">
        <f>IF(R26&gt;0,IF(P26="t",RANK(D26,D$7:D$126,1)-COUNTBLANK(P$7:P$126),""),"")</f>
        <v>8</v>
      </c>
      <c r="D26" s="142">
        <f>IF((P26="t"),U26,U26-1000)</f>
        <v>20</v>
      </c>
      <c r="E26" s="143">
        <f>IF(R26&gt;0,IF(N26="m",RANK(F26,F$7:F$126,1)-COUNTBLANK(N$7:N$126),""),"")</f>
        <v>17</v>
      </c>
      <c r="F26" s="144">
        <f>IF((N26="m"),U26,U26-1000)</f>
        <v>20</v>
      </c>
      <c r="G26" s="145" t="str">
        <f>IF(R26&gt;0,IF(M26="n",RANK(H26,H$7:H$126,1)-COUNTBLANK(M$7:M$126),""),"")</f>
        <v/>
      </c>
      <c r="H26" s="144">
        <f>IF((M26="n"),U26,U26-1000)</f>
        <v>-980</v>
      </c>
      <c r="I26" s="160" t="str">
        <f>IF(R26&gt;0,IF(O26="j",RANK(J26,J$7:J$126,1)-COUNTBLANK(O$7:O$126),""),"")</f>
        <v/>
      </c>
      <c r="J26" s="161">
        <f>IF((O26="j"),U26,U26-1000)</f>
        <v>-980</v>
      </c>
      <c r="K26" s="162">
        <f>IF(R26&gt;0,RANK(U26,U$7:U$126,1),"")</f>
        <v>19</v>
      </c>
      <c r="L26" s="168" t="s">
        <v>217</v>
      </c>
      <c r="M26" s="164"/>
      <c r="N26" s="165" t="str">
        <f>IF(M26="","m","")</f>
        <v>m</v>
      </c>
      <c r="O26" s="166"/>
      <c r="P26" s="167" t="s">
        <v>196</v>
      </c>
      <c r="Q26" s="192"/>
      <c r="R26" s="154">
        <f>(IF(COUNT(Z26,AA26,AB26,AC26,AD26,AE26,AF26,AG26,AH26,AI26)&lt;10,SUM(Z26,AA26,AB26,AC26,AD26,AE26,AF26,AG26,AH26,AI26),SUM(LARGE((Z26,AA26,AB26,AC26,AD26,AE26,AF26,AG26,AH26,AI26),{1;2;3;4;5;6;7;8;9}))))</f>
        <v>78</v>
      </c>
      <c r="S26" s="193" t="str">
        <f>INDEX(ETAPP!B$1:B$32,MATCH(COUNTIF(BI26:BR26,1),ETAPP!A$1:A$32,0))&amp;INDEX(ETAPP!B$1:B$32,MATCH(COUNTIF(BI26:BR26,2),ETAPP!A$1:A$32,0))&amp;INDEX(ETAPP!B$1:B$32,MATCH(COUNTIF(BI26:BR26,3),ETAPP!A$1:A$32,0))&amp;INDEX(ETAPP!B$1:B$32,MATCH(COUNTIF(BI26:BR26,4),ETAPP!A$1:A$32,0))&amp;INDEX(ETAPP!B$1:B$32,MATCH(COUNTIF(BI26:BR26,5),ETAPP!A$1:A$32,0))&amp;INDEX(ETAPP!B$1:B$32,MATCH(COUNTIF(BI26:BR26,6),ETAPP!A$1:A$32,0))&amp;INDEX(ETAPP!B$1:B$32,MATCH(COUNTIF(BI26:BR26,7),ETAPP!A$1:A$32,0))&amp;INDEX(ETAPP!B$1:B$32,MATCH(COUNTIF(BI26:BR26,8),ETAPP!A$1:A$32,0))&amp;INDEX(ETAPP!B$1:B$32,MATCH(COUNTIF(BI26:BR26,9),ETAPP!A$1:A$32,0))&amp;INDEX(ETAPP!B$1:B$32,MATCH(COUNTIF(BI26:BR26,10),ETAPP!A$1:A$32,0))&amp;INDEX(ETAPP!B$1:B$32,MATCH(COUNTIF(BI26:BR26,11),ETAPP!A$1:A$32,0))&amp;INDEX(ETAPP!B$1:B$32,MATCH(COUNTIF(BI26:BR26,12),ETAPP!A$1:A$32,0))&amp;INDEX(ETAPP!B$1:B$32,MATCH(COUNTIF(BI26:BR26,13),ETAPP!A$1:A$32,0))&amp;INDEX(ETAPP!B$1:B$32,MATCH(COUNTIF(BI26:BR26,14),ETAPP!A$1:A$32,0))&amp;INDEX(ETAPP!B$1:B$32,MATCH(COUNTIF(BI26:BR26,15),ETAPP!A$1:A$32,0))&amp;INDEX(ETAPP!B$1:B$32,MATCH(COUNTIF(BI26:BR26,16),ETAPP!A$1:A$32,0))&amp;INDEX(ETAPP!B$1:B$32,MATCH(COUNTIF(BI26:BR26,17),ETAPP!A$1:A$32,0))&amp;INDEX(ETAPP!B$1:B$32,MATCH(COUNTIF(BI26:BR26,18),ETAPP!A$1:A$32,0))&amp;INDEX(ETAPP!B$1:B$32,MATCH(COUNTIF(BI26:BR26,19),ETAPP!A$1:A$32,0))&amp;INDEX(ETAPP!B$1:B$32,MATCH(COUNTIF(BI26:BR26,20),ETAPP!A$1:A$32,0))&amp;INDEX(ETAPP!B$1:B$32,MATCH(COUNTIF(BI26:BR26,21),ETAPP!A$1:A$32,0))</f>
        <v>000A0000CA00000000000</v>
      </c>
      <c r="T26" s="193" t="str">
        <f>TEXT(R26,"000,0")&amp;"-"&amp;S26</f>
        <v>078,0-000A0000CA00000000000</v>
      </c>
      <c r="U26" s="193">
        <f>COUNTIF(T$7:T$126,"&gt;="&amp;T26)</f>
        <v>20</v>
      </c>
      <c r="V26" s="193">
        <f>COUNTIF(L$7:L$126,"&gt;="&amp;L26)</f>
        <v>10</v>
      </c>
      <c r="W26" s="193" t="str">
        <f>TEXT(R26,"000,0")&amp;"-"&amp;S26&amp;"-"&amp;TEXT(V26,"000")</f>
        <v>078,0-000A0000CA00000000000-010</v>
      </c>
      <c r="X26" s="193">
        <f>COUNTIF(W$7:W$126,"&gt;="&amp;W26)</f>
        <v>20</v>
      </c>
      <c r="Y26" s="201">
        <f>RANK(X26,X$7:X$126,0)</f>
        <v>101</v>
      </c>
      <c r="Z26" s="202" t="str">
        <f>IFERROR(INDEX('V1'!C$300:C$400,MATCH("*"&amp;L26&amp;"*",'V1'!B$300:B$400,0)),"  ")</f>
        <v>  </v>
      </c>
      <c r="AA26" s="202" t="str">
        <f>IFERROR(INDEX('V2'!C$300:C$400,MATCH("*"&amp;L26&amp;"*",'V2'!B$300:B$400,0)),"  ")</f>
        <v>  </v>
      </c>
      <c r="AB26" s="202">
        <f>IFERROR(INDEX('V3'!C$300:C$400,MATCH("*"&amp;L26&amp;"*",'V3'!B$300:B$400,0)),"  ")</f>
        <v>10</v>
      </c>
      <c r="AC26" s="202">
        <f>IFERROR(INDEX('V4'!C$300:C$400,MATCH("*"&amp;L26&amp;"*",'V4'!B$300:B$400,0)),"  ")</f>
        <v>10</v>
      </c>
      <c r="AD26" s="202">
        <f>IFERROR(INDEX('V5'!C$300:C$400,MATCH("*"&amp;L26&amp;"*",'V5'!B$300:B$400,0)),"  ")</f>
        <v>34</v>
      </c>
      <c r="AE26" s="202">
        <f>IFERROR(INDEX('V6'!C$300:C$400,MATCH("*"&amp;L26&amp;"*",'V6'!B$300:B$400,0)),"  ")</f>
        <v>12</v>
      </c>
      <c r="AF26" s="202">
        <f>IFERROR(INDEX('V7'!C$300:C$400,MATCH("*"&amp;L26&amp;"*",'V7'!B$300:B$400,0)),"  ")</f>
        <v>12</v>
      </c>
      <c r="AG26" s="202" t="str">
        <f>IFERROR(INDEX('V8'!C$300:C$400,MATCH("*"&amp;L26&amp;"*",'V8'!B$300:B$400,0)),"  ")</f>
        <v>  </v>
      </c>
      <c r="AH26" s="202"/>
      <c r="AI26" s="202"/>
      <c r="AJ26" s="222">
        <f>IF(AN26&gt;(AT$2-1),K26,"")</f>
        <v>19</v>
      </c>
      <c r="AK26" s="223">
        <f>SUM(Z26:AI26)</f>
        <v>78</v>
      </c>
      <c r="AL26" s="224" t="str">
        <f>IFERROR("edasi "&amp;RANK(AJ26,AJ$7:AJ$126,1),K26)</f>
        <v>edasi 19</v>
      </c>
      <c r="AM26" s="225" t="str">
        <f>IFERROR(INDEX(#REF!,MATCH("*"&amp;L26&amp;"*",#REF!,0)),"  ")</f>
        <v>  </v>
      </c>
      <c r="AN26" s="226">
        <f>COUNTIF(Z26:AI26,"&gt;=0")</f>
        <v>5</v>
      </c>
      <c r="AO26" s="126">
        <f>IFERROR(IF(Z26+1&gt;LARGE(Z$7:Z$126,1)-2*LEN(Z$5),1),0)+IFERROR(IF(AA26+1&gt;LARGE(AA$7:AA$126,1)-2*LEN(AA$5),1),0)+IFERROR(IF(AB26+1&gt;LARGE(AB$7:AB$126,1)-2*LEN(AB$5),1),0)+IFERROR(IF(AC26+1&gt;LARGE(AC$7:AC$126,1)-2*LEN(AC$5),1),0)+IFERROR(IF(AD26+1&gt;LARGE(AD$7:AD$126,1)-2*LEN(AD$5),1),0)+IFERROR(IF(AE26+1&gt;LARGE(AE$7:AE$126,1)-2*LEN(AE$5),1),0)+IFERROR(IF(AF26+1&gt;LARGE(AF$7:AF$126,1)-2*LEN(AF$5),1),0)+IFERROR(IF(AG26+1&gt;LARGE(AG$7:AG$126,1)-2*LEN(AG$5),1),0)+IFERROR(IF(AH26+1&gt;LARGE(AH$7:AH$126,1)-2*LEN(AH$5),1),0)+IFERROR(IF(AI26+1&gt;LARGE(AI$7:AI$126,1)-2*LEN(AI$5),1),0)</f>
        <v>0</v>
      </c>
      <c r="AP26" s="126">
        <f>IF(Z26=0,0,IF(Z26=IFERROR(LARGE(Z$7:Z$126,1),0),1,0))+IF(AA26=0,0,IF(AA26=IFERROR(LARGE(AA$7:AA$126,1),0),1,0))+IF(AB26=0,0,IF(AB26=IFERROR(LARGE(AB$7:AB$126,1),0),1,0))+IF(AC26=0,0,IF(AC26=IFERROR(LARGE(AC$7:AC$126,1),0),1,0))+IF(AD26=0,0,IF(AD26=IFERROR(LARGE(AD$7:AD$126,1),0),1,0))+IF(AE26=0,0,IF(AE26=IFERROR(LARGE(AE$7:AE$126,1),0),1,0))+IF(AF26=0,0,IF(AF26=IFERROR(LARGE(AF$7:AF$126,1),0),1,0))+IF(AG26=0,0,IF(AG26=IFERROR(LARGE(AG$7:AG$126,1),0),1,0))+IF(AH26=0,0,IF(AH26=IFERROR(LARGE(AH$7:AH$126,1),0),1,0))+IF(AI26=0,0,IF(AI26=IFERROR(LARGE(AI$7:AI$126,1),0),1,0))</f>
        <v>0</v>
      </c>
      <c r="AQ26" s="233"/>
      <c r="AR26" s="233"/>
      <c r="AS26" s="233"/>
      <c r="AT26" s="234">
        <f>SMALL(AU26:BD26,AT$3)</f>
        <v>0.0001</v>
      </c>
      <c r="AU26" s="235">
        <f>IF(Z26="  ",0+MID(Z$6,FIND("V",Z$6)+1,256)/10000,Z26+MID(Z$6,FIND("V",Z$6)+1,256)/10000)</f>
        <v>0.0001</v>
      </c>
      <c r="AV26" s="235">
        <f>IF(AA26="  ",0+MID(AA$6,FIND("V",AA$6)+1,256)/10000,AA26+MID(AA$6,FIND("V",AA$6)+1,256)/10000)</f>
        <v>0.0002</v>
      </c>
      <c r="AW26" s="235">
        <f>IF(AB26="  ",0+MID(AB$6,FIND("V",AB$6)+1,256)/10000,AB26+MID(AB$6,FIND("V",AB$6)+1,256)/10000)</f>
        <v>10.0003</v>
      </c>
      <c r="AX26" s="235">
        <f>IF(AC26="  ",0+MID(AC$6,FIND("V",AC$6)+1,256)/10000,AC26+MID(AC$6,FIND("V",AC$6)+1,256)/10000)</f>
        <v>10.0004</v>
      </c>
      <c r="AY26" s="235">
        <f>IF(AD26="  ",0+MID(AD$6,FIND("V",AD$6)+1,256)/10000,AD26+MID(AD$6,FIND("V",AD$6)+1,256)/10000)</f>
        <v>34.0005</v>
      </c>
      <c r="AZ26" s="235">
        <f>IF(AE26="  ",0+MID(AE$6,FIND("V",AE$6)+1,256)/10000,AE26+MID(AE$6,FIND("V",AE$6)+1,256)/10000)</f>
        <v>12.0006</v>
      </c>
      <c r="BA26" s="235">
        <f>IF(AF26="  ",0+MID(AF$6,FIND("V",AF$6)+1,256)/10000,AF26+MID(AF$6,FIND("V",AF$6)+1,256)/10000)</f>
        <v>12.0007</v>
      </c>
      <c r="BB26" s="235">
        <f>IF(AG26="  ",0+MID(AG$6,FIND("V",AG$6)+1,256)/10000,AG26+MID(AG$6,FIND("V",AG$6)+1,256)/10000)</f>
        <v>0.0008</v>
      </c>
      <c r="BC26" s="235">
        <f>IF(AH26="  ",0+MID(AH$6,FIND("V",AH$6)+1,256)/10000,AH26+MID(AH$6,FIND("V",AH$6)+1,256)/10000)</f>
        <v>0.0009</v>
      </c>
      <c r="BD26" s="235">
        <f>IF(AI26="  ",0+MID(AI$6,FIND("V",AI$6)+1,256)/10000,AI26+MID(AI$6,FIND("V",AI$6)+1,256)/10000)</f>
        <v>0.001</v>
      </c>
      <c r="BE26" s="233"/>
      <c r="BF26" s="233"/>
      <c r="BG26" s="233"/>
      <c r="BH26" s="233"/>
      <c r="BI26" s="3" t="e">
        <f>(LARGE(Z$7:Z$126,1)-Z26)/2+1</f>
        <v>#VALUE!</v>
      </c>
      <c r="BJ26" s="3" t="e">
        <f>(LARGE(AA$7:AA$126,1)-AA26)/2+1</f>
        <v>#VALUE!</v>
      </c>
      <c r="BK26" s="3">
        <f>(LARGE(AB$7:AB$126,1)-AB26)/2+1</f>
        <v>9</v>
      </c>
      <c r="BL26" s="3">
        <f>(LARGE(AC$7:AC$126,1)-AC26)/2+1</f>
        <v>10</v>
      </c>
      <c r="BM26" s="3">
        <f>(LARGE(AD$7:AD$126,1)-AD26)/2+1</f>
        <v>4</v>
      </c>
      <c r="BN26" s="3">
        <f>(LARGE(AE$7:AE$126,1)-AE26)/2+1</f>
        <v>9</v>
      </c>
      <c r="BO26" s="3">
        <f>(LARGE(AF$7:AF$126,1)-AF26)/2+1</f>
        <v>9</v>
      </c>
      <c r="BP26" s="3" t="e">
        <f>(LARGE(AG$7:AG$126,1)-AG26)/2+1</f>
        <v>#VALUE!</v>
      </c>
      <c r="BQ26" s="3" t="e">
        <f>(LARGE(AH$7:AH$126,1)-AH26)/2+1</f>
        <v>#NUM!</v>
      </c>
      <c r="BR26" s="3" t="e">
        <f>(LARGE(AI$7:AI$126,1)-AI26)/2+1</f>
        <v>#NUM!</v>
      </c>
    </row>
    <row r="27" spans="1:70">
      <c r="A27" s="139">
        <f>IF(R27&gt;0,IF(Q27="Viru SK",RANK(B27,B$7:B$126,1)-COUNTIF((Q$7:Q$126),"&lt;&gt;Viru SK"),""),"")</f>
        <v>15</v>
      </c>
      <c r="B27" s="140">
        <f>IF((Q27="Viru SK"),U27,U27-1000)</f>
        <v>21</v>
      </c>
      <c r="C27" s="141">
        <f>IF(R27&gt;0,IF(P27="t",RANK(D27,D$7:D$126,1)-COUNTBLANK(P$7:P$126),""),"")</f>
        <v>10</v>
      </c>
      <c r="D27" s="142">
        <f>IF((P27="t"),U27,U27-1000)</f>
        <v>21</v>
      </c>
      <c r="E27" s="143" t="str">
        <f>IF(R27&gt;0,IF(N27="m",RANK(F27,F$7:F$126,1)-COUNTBLANK(N$7:N$126),""),"")</f>
        <v/>
      </c>
      <c r="F27" s="144">
        <f>IF((N27="m"),U27,U27-1000)</f>
        <v>-979</v>
      </c>
      <c r="G27" s="145">
        <f>IF(R27&gt;0,IF(M27="n",RANK(H27,H$7:H$126,1)-COUNTBLANK(M$7:M$126),""),"")</f>
        <v>4</v>
      </c>
      <c r="H27" s="144">
        <f>IF((M27="n"),U27,U27-1000)</f>
        <v>21</v>
      </c>
      <c r="I27" s="160" t="str">
        <f>IF(R27&gt;0,IF(O27="j",RANK(J27,J$7:J$126,1)-COUNTBLANK(O$7:O$126),""),"")</f>
        <v/>
      </c>
      <c r="J27" s="161">
        <f>IF((O27="j"),U27,U27-1000)</f>
        <v>-979</v>
      </c>
      <c r="K27" s="162">
        <f>IF(R27&gt;0,RANK(U27,U$7:U$126,1),"")</f>
        <v>21</v>
      </c>
      <c r="L27" s="163" t="s">
        <v>218</v>
      </c>
      <c r="M27" s="164" t="s">
        <v>203</v>
      </c>
      <c r="N27" s="165" t="str">
        <f>IF(M27="","m","")</f>
        <v/>
      </c>
      <c r="O27" s="166"/>
      <c r="P27" s="167" t="s">
        <v>196</v>
      </c>
      <c r="Q27" s="192" t="s">
        <v>171</v>
      </c>
      <c r="R27" s="154">
        <f>(IF(COUNT(Z27,AA27,AB27,AC27,AD27,AE27,AF27,AG27,AH27,AI27)&lt;10,SUM(Z27,AA27,AB27,AC27,AD27,AE27,AF27,AG27,AH27,AI27),SUM(LARGE((Z27,AA27,AB27,AC27,AD27,AE27,AF27,AG27,AH27,AI27),{1;2;3;4;5;6;7;8;9}))))</f>
        <v>74</v>
      </c>
      <c r="S27" s="193" t="str">
        <f>INDEX(ETAPP!B$1:B$32,MATCH(COUNTIF(BI27:BR27,1),ETAPP!A$1:A$32,0))&amp;INDEX(ETAPP!B$1:B$32,MATCH(COUNTIF(BI27:BR27,2),ETAPP!A$1:A$32,0))&amp;INDEX(ETAPP!B$1:B$32,MATCH(COUNTIF(BI27:BR27,3),ETAPP!A$1:A$32,0))&amp;INDEX(ETAPP!B$1:B$32,MATCH(COUNTIF(BI27:BR27,4),ETAPP!A$1:A$32,0))&amp;INDEX(ETAPP!B$1:B$32,MATCH(COUNTIF(BI27:BR27,5),ETAPP!A$1:A$32,0))&amp;INDEX(ETAPP!B$1:B$32,MATCH(COUNTIF(BI27:BR27,6),ETAPP!A$1:A$32,0))&amp;INDEX(ETAPP!B$1:B$32,MATCH(COUNTIF(BI27:BR27,7),ETAPP!A$1:A$32,0))&amp;INDEX(ETAPP!B$1:B$32,MATCH(COUNTIF(BI27:BR27,8),ETAPP!A$1:A$32,0))&amp;INDEX(ETAPP!B$1:B$32,MATCH(COUNTIF(BI27:BR27,9),ETAPP!A$1:A$32,0))&amp;INDEX(ETAPP!B$1:B$32,MATCH(COUNTIF(BI27:BR27,10),ETAPP!A$1:A$32,0))&amp;INDEX(ETAPP!B$1:B$32,MATCH(COUNTIF(BI27:BR27,11),ETAPP!A$1:A$32,0))&amp;INDEX(ETAPP!B$1:B$32,MATCH(COUNTIF(BI27:BR27,12),ETAPP!A$1:A$32,0))&amp;INDEX(ETAPP!B$1:B$32,MATCH(COUNTIF(BI27:BR27,13),ETAPP!A$1:A$32,0))&amp;INDEX(ETAPP!B$1:B$32,MATCH(COUNTIF(BI27:BR27,14),ETAPP!A$1:A$32,0))&amp;INDEX(ETAPP!B$1:B$32,MATCH(COUNTIF(BI27:BR27,15),ETAPP!A$1:A$32,0))&amp;INDEX(ETAPP!B$1:B$32,MATCH(COUNTIF(BI27:BR27,16),ETAPP!A$1:A$32,0))&amp;INDEX(ETAPP!B$1:B$32,MATCH(COUNTIF(BI27:BR27,17),ETAPP!A$1:A$32,0))&amp;INDEX(ETAPP!B$1:B$32,MATCH(COUNTIF(BI27:BR27,18),ETAPP!A$1:A$32,0))&amp;INDEX(ETAPP!B$1:B$32,MATCH(COUNTIF(BI27:BR27,19),ETAPP!A$1:A$32,0))&amp;INDEX(ETAPP!B$1:B$32,MATCH(COUNTIF(BI27:BR27,20),ETAPP!A$1:A$32,0))&amp;INDEX(ETAPP!B$1:B$32,MATCH(COUNTIF(BI27:BR27,21),ETAPP!A$1:A$32,0))</f>
        <v>0AA0000A0000000000000</v>
      </c>
      <c r="T27" s="193" t="str">
        <f>TEXT(R27,"000,0")&amp;"-"&amp;S27</f>
        <v>074,0-0AA0000A0000000000000</v>
      </c>
      <c r="U27" s="193">
        <f>COUNTIF(T$7:T$126,"&gt;="&amp;T27)</f>
        <v>21</v>
      </c>
      <c r="V27" s="193">
        <f>COUNTIF(L$7:L$126,"&gt;="&amp;L27)</f>
        <v>119</v>
      </c>
      <c r="W27" s="193" t="str">
        <f>TEXT(R27,"000,0")&amp;"-"&amp;S27&amp;"-"&amp;TEXT(V27,"000")</f>
        <v>074,0-0AA0000A0000000000000-119</v>
      </c>
      <c r="X27" s="193">
        <f>COUNTIF(W$7:W$126,"&gt;="&amp;W27)</f>
        <v>21</v>
      </c>
      <c r="Y27" s="201">
        <f>RANK(X27,X$7:X$126,0)</f>
        <v>100</v>
      </c>
      <c r="Z27" s="202" t="str">
        <f>IFERROR(INDEX('V1'!C$300:C$400,MATCH("*"&amp;L27&amp;"*",'V1'!B$300:B$400,0)),"  ")</f>
        <v>  </v>
      </c>
      <c r="AA27" s="202" t="str">
        <f>IFERROR(INDEX('V2'!C$300:C$400,MATCH("*"&amp;L27&amp;"*",'V2'!B$300:B$400,0)),"  ")</f>
        <v>  </v>
      </c>
      <c r="AB27" s="202" t="str">
        <f>IFERROR(INDEX('V3'!C$300:C$400,MATCH("*"&amp;L27&amp;"*",'V3'!B$300:B$400,0)),"  ")</f>
        <v>  </v>
      </c>
      <c r="AC27" s="202" t="str">
        <f>IFERROR(INDEX('V4'!C$300:C$400,MATCH("*"&amp;L27&amp;"*",'V4'!B$300:B$400,0)),"  ")</f>
        <v>  </v>
      </c>
      <c r="AD27" s="202">
        <f>IFERROR(INDEX('V5'!C$300:C$400,MATCH("*"&amp;L27&amp;"*",'V5'!B$300:B$400,0)),"  ")</f>
        <v>38</v>
      </c>
      <c r="AE27" s="202">
        <f>IFERROR(INDEX('V6'!C$300:C$400,MATCH("*"&amp;L27&amp;"*",'V6'!B$300:B$400,0)),"  ")</f>
        <v>14</v>
      </c>
      <c r="AF27" s="202" t="str">
        <f>IFERROR(INDEX('V7'!C$300:C$400,MATCH("*"&amp;L27&amp;"*",'V7'!B$300:B$400,0)),"  ")</f>
        <v>  </v>
      </c>
      <c r="AG27" s="202">
        <f>IFERROR(INDEX('V8'!C$300:C$400,MATCH("*"&amp;L27&amp;"*",'V8'!B$300:B$400,0)),"  ")</f>
        <v>22</v>
      </c>
      <c r="AH27" s="202"/>
      <c r="AI27" s="202"/>
      <c r="AJ27" s="222">
        <f>IF(AN27&gt;(AT$2-1),K27,"")</f>
        <v>21</v>
      </c>
      <c r="AK27" s="223">
        <f>SUM(Z27:AI27)</f>
        <v>74</v>
      </c>
      <c r="AL27" s="224" t="str">
        <f>IFERROR("edasi "&amp;RANK(AJ27,AJ$7:AJ$126,1),K27)</f>
        <v>edasi 21</v>
      </c>
      <c r="AM27" s="225" t="str">
        <f>IFERROR(INDEX(#REF!,MATCH("*"&amp;L27&amp;"*",#REF!,0)),"  ")</f>
        <v>  </v>
      </c>
      <c r="AN27" s="226">
        <f>COUNTIF(Z27:AI27,"&gt;=0")</f>
        <v>3</v>
      </c>
      <c r="AO27" s="126">
        <f>IFERROR(IF(Z27+1&gt;LARGE(Z$7:Z$126,1)-2*LEN(Z$5),1),0)+IFERROR(IF(AA27+1&gt;LARGE(AA$7:AA$126,1)-2*LEN(AA$5),1),0)+IFERROR(IF(AB27+1&gt;LARGE(AB$7:AB$126,1)-2*LEN(AB$5),1),0)+IFERROR(IF(AC27+1&gt;LARGE(AC$7:AC$126,1)-2*LEN(AC$5),1),0)+IFERROR(IF(AD27+1&gt;LARGE(AD$7:AD$126,1)-2*LEN(AD$5),1),0)+IFERROR(IF(AE27+1&gt;LARGE(AE$7:AE$126,1)-2*LEN(AE$5),1),0)+IFERROR(IF(AF27+1&gt;LARGE(AF$7:AF$126,1)-2*LEN(AF$5),1),0)+IFERROR(IF(AG27+1&gt;LARGE(AG$7:AG$126,1)-2*LEN(AG$5),1),0)+IFERROR(IF(AH27+1&gt;LARGE(AH$7:AH$126,1)-2*LEN(AH$5),1),0)+IFERROR(IF(AI27+1&gt;LARGE(AI$7:AI$126,1)-2*LEN(AI$5),1),0)</f>
        <v>2</v>
      </c>
      <c r="AP27" s="126">
        <f>IF(Z27=0,0,IF(Z27=IFERROR(LARGE(Z$7:Z$126,1),0),1,0))+IF(AA27=0,0,IF(AA27=IFERROR(LARGE(AA$7:AA$126,1),0),1,0))+IF(AB27=0,0,IF(AB27=IFERROR(LARGE(AB$7:AB$126,1),0),1,0))+IF(AC27=0,0,IF(AC27=IFERROR(LARGE(AC$7:AC$126,1),0),1,0))+IF(AD27=0,0,IF(AD27=IFERROR(LARGE(AD$7:AD$126,1),0),1,0))+IF(AE27=0,0,IF(AE27=IFERROR(LARGE(AE$7:AE$126,1),0),1,0))+IF(AF27=0,0,IF(AF27=IFERROR(LARGE(AF$7:AF$126,1),0),1,0))+IF(AG27=0,0,IF(AG27=IFERROR(LARGE(AG$7:AG$126,1),0),1,0))+IF(AH27=0,0,IF(AH27=IFERROR(LARGE(AH$7:AH$126,1),0),1,0))+IF(AI27=0,0,IF(AI27=IFERROR(LARGE(AI$7:AI$126,1),0),1,0))</f>
        <v>0</v>
      </c>
      <c r="AQ27" s="233"/>
      <c r="AR27" s="233"/>
      <c r="AS27" s="233"/>
      <c r="AT27" s="234">
        <f>SMALL(AU27:BD27,AT$3)</f>
        <v>0.0001</v>
      </c>
      <c r="AU27" s="235">
        <f>IF(Z27="  ",0+MID(Z$6,FIND("V",Z$6)+1,256)/10000,Z27+MID(Z$6,FIND("V",Z$6)+1,256)/10000)</f>
        <v>0.0001</v>
      </c>
      <c r="AV27" s="235">
        <f>IF(AA27="  ",0+MID(AA$6,FIND("V",AA$6)+1,256)/10000,AA27+MID(AA$6,FIND("V",AA$6)+1,256)/10000)</f>
        <v>0.0002</v>
      </c>
      <c r="AW27" s="235">
        <f>IF(AB27="  ",0+MID(AB$6,FIND("V",AB$6)+1,256)/10000,AB27+MID(AB$6,FIND("V",AB$6)+1,256)/10000)</f>
        <v>0.0003</v>
      </c>
      <c r="AX27" s="235">
        <f>IF(AC27="  ",0+MID(AC$6,FIND("V",AC$6)+1,256)/10000,AC27+MID(AC$6,FIND("V",AC$6)+1,256)/10000)</f>
        <v>0.0004</v>
      </c>
      <c r="AY27" s="235">
        <f>IF(AD27="  ",0+MID(AD$6,FIND("V",AD$6)+1,256)/10000,AD27+MID(AD$6,FIND("V",AD$6)+1,256)/10000)</f>
        <v>38.0005</v>
      </c>
      <c r="AZ27" s="235">
        <f>IF(AE27="  ",0+MID(AE$6,FIND("V",AE$6)+1,256)/10000,AE27+MID(AE$6,FIND("V",AE$6)+1,256)/10000)</f>
        <v>14.0006</v>
      </c>
      <c r="BA27" s="235">
        <f>IF(AF27="  ",0+MID(AF$6,FIND("V",AF$6)+1,256)/10000,AF27+MID(AF$6,FIND("V",AF$6)+1,256)/10000)</f>
        <v>0.0007</v>
      </c>
      <c r="BB27" s="235">
        <f>IF(AG27="  ",0+MID(AG$6,FIND("V",AG$6)+1,256)/10000,AG27+MID(AG$6,FIND("V",AG$6)+1,256)/10000)</f>
        <v>22.0008</v>
      </c>
      <c r="BC27" s="235">
        <f>IF(AH27="  ",0+MID(AH$6,FIND("V",AH$6)+1,256)/10000,AH27+MID(AH$6,FIND("V",AH$6)+1,256)/10000)</f>
        <v>0.0009</v>
      </c>
      <c r="BD27" s="235">
        <f>IF(AI27="  ",0+MID(AI$6,FIND("V",AI$6)+1,256)/10000,AI27+MID(AI$6,FIND("V",AI$6)+1,256)/10000)</f>
        <v>0.001</v>
      </c>
      <c r="BE27" s="233"/>
      <c r="BF27" s="233"/>
      <c r="BG27" s="233"/>
      <c r="BH27" s="233"/>
      <c r="BI27" s="3" t="e">
        <f>(LARGE(Z$7:Z$126,1)-Z27)/2+1</f>
        <v>#VALUE!</v>
      </c>
      <c r="BJ27" s="3" t="e">
        <f>(LARGE(AA$7:AA$126,1)-AA27)/2+1</f>
        <v>#VALUE!</v>
      </c>
      <c r="BK27" s="3" t="e">
        <f>(LARGE(AB$7:AB$126,1)-AB27)/2+1</f>
        <v>#VALUE!</v>
      </c>
      <c r="BL27" s="3" t="e">
        <f>(LARGE(AC$7:AC$126,1)-AC27)/2+1</f>
        <v>#VALUE!</v>
      </c>
      <c r="BM27" s="3">
        <f>(LARGE(AD$7:AD$126,1)-AD27)/2+1</f>
        <v>2</v>
      </c>
      <c r="BN27" s="3">
        <f>(LARGE(AE$7:AE$126,1)-AE27)/2+1</f>
        <v>8</v>
      </c>
      <c r="BO27" s="3" t="e">
        <f>(LARGE(AF$7:AF$126,1)-AF27)/2+1</f>
        <v>#VALUE!</v>
      </c>
      <c r="BP27" s="3">
        <f>(LARGE(AG$7:AG$126,1)-AG27)/2+1</f>
        <v>3</v>
      </c>
      <c r="BQ27" s="3" t="e">
        <f>(LARGE(AH$7:AH$126,1)-AH27)/2+1</f>
        <v>#NUM!</v>
      </c>
      <c r="BR27" s="3" t="e">
        <f>(LARGE(AI$7:AI$126,1)-AI27)/2+1</f>
        <v>#NUM!</v>
      </c>
    </row>
    <row r="28" spans="1:70">
      <c r="A28" s="139">
        <f>IF(R28&gt;0,IF(Q28="Viru SK",RANK(B28,B$7:B$126,1)-COUNTIF((Q$7:Q$126),"&lt;&gt;Viru SK"),""),"")</f>
        <v>16</v>
      </c>
      <c r="B28" s="140">
        <f>IF((Q28="Viru SK"),U28,U28-1000)</f>
        <v>22</v>
      </c>
      <c r="C28" s="141" t="str">
        <f>IF(R28&gt;0,IF(P28="t",RANK(D28,D$7:D$126,1)-COUNTBLANK(P$7:P$126),""),"")</f>
        <v/>
      </c>
      <c r="D28" s="142">
        <f>IF((P28="t"),U28,U28-1000)</f>
        <v>-978</v>
      </c>
      <c r="E28" s="143">
        <f>IF(R28&gt;0,IF(N28="m",RANK(F28,F$7:F$126,1)-COUNTBLANK(N$7:N$126),""),"")</f>
        <v>19</v>
      </c>
      <c r="F28" s="144">
        <f>IF((N28="m"),U28,U28-1000)</f>
        <v>22</v>
      </c>
      <c r="G28" s="145" t="str">
        <f>IF(R28&gt;0,IF(M28="n",RANK(H28,H$7:H$126,1)-COUNTBLANK(M$7:M$126),""),"")</f>
        <v/>
      </c>
      <c r="H28" s="144">
        <f>IF((M28="n"),U28,U28-1000)</f>
        <v>-978</v>
      </c>
      <c r="I28" s="160" t="str">
        <f>IF(R28&gt;0,IF(O28="j",RANK(J28,J$7:J$126,1)-COUNTBLANK(O$7:O$126),""),"")</f>
        <v/>
      </c>
      <c r="J28" s="161">
        <f>IF((O28="j"),U28,U28-1000)</f>
        <v>-978</v>
      </c>
      <c r="K28" s="162">
        <f>IF(R28&gt;0,RANK(U28,U$7:U$126,1),"")</f>
        <v>22</v>
      </c>
      <c r="L28" s="168" t="s">
        <v>219</v>
      </c>
      <c r="M28" s="164"/>
      <c r="N28" s="165" t="s">
        <v>193</v>
      </c>
      <c r="O28" s="166"/>
      <c r="P28" s="167"/>
      <c r="Q28" s="192" t="s">
        <v>171</v>
      </c>
      <c r="R28" s="154">
        <f>(IF(COUNT(Z28,AA28,AB28,AC28,AD28,AE28,AF28,AG28,AH28,AI28)&lt;10,SUM(Z28,AA28,AB28,AC28,AD28,AE28,AF28,AG28,AH28,AI28),SUM(LARGE((Z28,AA28,AB28,AC28,AD28,AE28,AF28,AG28,AH28,AI28),{1;2;3;4;5;6;7;8;9}))))</f>
        <v>72</v>
      </c>
      <c r="S28" s="193" t="str">
        <f>INDEX(ETAPP!B$1:B$32,MATCH(COUNTIF(BI28:BR28,1),ETAPP!A$1:A$32,0))&amp;INDEX(ETAPP!B$1:B$32,MATCH(COUNTIF(BI28:BR28,2),ETAPP!A$1:A$32,0))&amp;INDEX(ETAPP!B$1:B$32,MATCH(COUNTIF(BI28:BR28,3),ETAPP!A$1:A$32,0))&amp;INDEX(ETAPP!B$1:B$32,MATCH(COUNTIF(BI28:BR28,4),ETAPP!A$1:A$32,0))&amp;INDEX(ETAPP!B$1:B$32,MATCH(COUNTIF(BI28:BR28,5),ETAPP!A$1:A$32,0))&amp;INDEX(ETAPP!B$1:B$32,MATCH(COUNTIF(BI28:BR28,6),ETAPP!A$1:A$32,0))&amp;INDEX(ETAPP!B$1:B$32,MATCH(COUNTIF(BI28:BR28,7),ETAPP!A$1:A$32,0))&amp;INDEX(ETAPP!B$1:B$32,MATCH(COUNTIF(BI28:BR28,8),ETAPP!A$1:A$32,0))&amp;INDEX(ETAPP!B$1:B$32,MATCH(COUNTIF(BI28:BR28,9),ETAPP!A$1:A$32,0))&amp;INDEX(ETAPP!B$1:B$32,MATCH(COUNTIF(BI28:BR28,10),ETAPP!A$1:A$32,0))&amp;INDEX(ETAPP!B$1:B$32,MATCH(COUNTIF(BI28:BR28,11),ETAPP!A$1:A$32,0))&amp;INDEX(ETAPP!B$1:B$32,MATCH(COUNTIF(BI28:BR28,12),ETAPP!A$1:A$32,0))&amp;INDEX(ETAPP!B$1:B$32,MATCH(COUNTIF(BI28:BR28,13),ETAPP!A$1:A$32,0))&amp;INDEX(ETAPP!B$1:B$32,MATCH(COUNTIF(BI28:BR28,14),ETAPP!A$1:A$32,0))&amp;INDEX(ETAPP!B$1:B$32,MATCH(COUNTIF(BI28:BR28,15),ETAPP!A$1:A$32,0))&amp;INDEX(ETAPP!B$1:B$32,MATCH(COUNTIF(BI28:BR28,16),ETAPP!A$1:A$32,0))&amp;INDEX(ETAPP!B$1:B$32,MATCH(COUNTIF(BI28:BR28,17),ETAPP!A$1:A$32,0))&amp;INDEX(ETAPP!B$1:B$32,MATCH(COUNTIF(BI28:BR28,18),ETAPP!A$1:A$32,0))&amp;INDEX(ETAPP!B$1:B$32,MATCH(COUNTIF(BI28:BR28,19),ETAPP!A$1:A$32,0))&amp;INDEX(ETAPP!B$1:B$32,MATCH(COUNTIF(BI28:BR28,20),ETAPP!A$1:A$32,0))&amp;INDEX(ETAPP!B$1:B$32,MATCH(COUNTIF(BI28:BR28,21),ETAPP!A$1:A$32,0))</f>
        <v>A00A000AA0000000A0000</v>
      </c>
      <c r="T28" s="193" t="str">
        <f>TEXT(R28,"000,0")&amp;"-"&amp;S28</f>
        <v>072,0-A00A000AA0000000A0000</v>
      </c>
      <c r="U28" s="193">
        <f>COUNTIF(T$7:T$126,"&gt;="&amp;T28)</f>
        <v>22</v>
      </c>
      <c r="V28" s="193">
        <f>COUNTIF(L$7:L$126,"&gt;="&amp;L28)</f>
        <v>88</v>
      </c>
      <c r="W28" s="193" t="str">
        <f>TEXT(R28,"000,0")&amp;"-"&amp;S28&amp;"-"&amp;TEXT(V28,"000")</f>
        <v>072,0-A00A000AA0000000A0000-088</v>
      </c>
      <c r="X28" s="193">
        <f>COUNTIF(W$7:W$126,"&gt;="&amp;W28)</f>
        <v>22</v>
      </c>
      <c r="Y28" s="201">
        <f>RANK(X28,X$7:X$126,0)</f>
        <v>99</v>
      </c>
      <c r="Z28" s="202">
        <f>IFERROR(INDEX('V1'!C$300:C$400,MATCH("*"&amp;L28&amp;"*",'V1'!B$300:B$400,0)),"  ")</f>
        <v>12</v>
      </c>
      <c r="AA28" s="202">
        <f>IFERROR(INDEX('V2'!C$300:C$400,MATCH("*"&amp;L28&amp;"*",'V2'!B$300:B$400,0)),"  ")</f>
        <v>12</v>
      </c>
      <c r="AB28" s="202">
        <f>IFERROR(INDEX('V3'!C$300:C$400,MATCH("*"&amp;L28&amp;"*",'V3'!B$300:B$400,0)),"  ")</f>
        <v>26</v>
      </c>
      <c r="AC28" s="202">
        <f>IFERROR(INDEX('V4'!C$300:C$400,MATCH("*"&amp;L28&amp;"*",'V4'!B$300:B$400,0)),"  ")</f>
        <v>14</v>
      </c>
      <c r="AD28" s="202">
        <f>IFERROR(INDEX('V5'!C$300:C$400,MATCH("*"&amp;L28&amp;"*",'V5'!B$300:B$400,0)),"  ")</f>
        <v>8</v>
      </c>
      <c r="AE28" s="202" t="str">
        <f>IFERROR(INDEX('V6'!C$300:C$400,MATCH("*"&amp;L28&amp;"*",'V6'!B$300:B$400,0)),"  ")</f>
        <v>  </v>
      </c>
      <c r="AF28" s="202" t="str">
        <f>IFERROR(INDEX('V7'!C$300:C$400,MATCH("*"&amp;L28&amp;"*",'V7'!B$300:B$400,0)),"  ")</f>
        <v>  </v>
      </c>
      <c r="AG28" s="202" t="str">
        <f>IFERROR(INDEX('V8'!C$300:C$400,MATCH("*"&amp;L28&amp;"*",'V8'!B$300:B$400,0)),"  ")</f>
        <v>  </v>
      </c>
      <c r="AH28" s="202"/>
      <c r="AI28" s="202"/>
      <c r="AJ28" s="222">
        <f>IF(AN28&gt;(AT$2-1),K28,"")</f>
        <v>22</v>
      </c>
      <c r="AK28" s="223">
        <f>SUM(Z28:AI28)</f>
        <v>72</v>
      </c>
      <c r="AL28" s="224" t="str">
        <f>IFERROR("edasi "&amp;RANK(AJ28,AJ$7:AJ$126,1),K28)</f>
        <v>edasi 22</v>
      </c>
      <c r="AM28" s="225" t="str">
        <f>IFERROR(INDEX(#REF!,MATCH("*"&amp;L28&amp;"*",#REF!,0)),"  ")</f>
        <v>  </v>
      </c>
      <c r="AN28" s="226">
        <f>COUNTIF(Z28:AI28,"&gt;=0")</f>
        <v>5</v>
      </c>
      <c r="AO28" s="126">
        <f>IFERROR(IF(Z28+1&gt;LARGE(Z$7:Z$126,1)-2*LEN(Z$5),1),0)+IFERROR(IF(AA28+1&gt;LARGE(AA$7:AA$126,1)-2*LEN(AA$5),1),0)+IFERROR(IF(AB28+1&gt;LARGE(AB$7:AB$126,1)-2*LEN(AB$5),1),0)+IFERROR(IF(AC28+1&gt;LARGE(AC$7:AC$126,1)-2*LEN(AC$5),1),0)+IFERROR(IF(AD28+1&gt;LARGE(AD$7:AD$126,1)-2*LEN(AD$5),1),0)+IFERROR(IF(AE28+1&gt;LARGE(AE$7:AE$126,1)-2*LEN(AE$5),1),0)+IFERROR(IF(AF28+1&gt;LARGE(AF$7:AF$126,1)-2*LEN(AF$5),1),0)+IFERROR(IF(AG28+1&gt;LARGE(AG$7:AG$126,1)-2*LEN(AG$5),1),0)+IFERROR(IF(AH28+1&gt;LARGE(AH$7:AH$126,1)-2*LEN(AH$5),1),0)+IFERROR(IF(AI28+1&gt;LARGE(AI$7:AI$126,1)-2*LEN(AI$5),1),0)</f>
        <v>1</v>
      </c>
      <c r="AP28" s="126">
        <f>IF(Z28=0,0,IF(Z28=IFERROR(LARGE(Z$7:Z$126,1),0),1,0))+IF(AA28=0,0,IF(AA28=IFERROR(LARGE(AA$7:AA$126,1),0),1,0))+IF(AB28=0,0,IF(AB28=IFERROR(LARGE(AB$7:AB$126,1),0),1,0))+IF(AC28=0,0,IF(AC28=IFERROR(LARGE(AC$7:AC$126,1),0),1,0))+IF(AD28=0,0,IF(AD28=IFERROR(LARGE(AD$7:AD$126,1),0),1,0))+IF(AE28=0,0,IF(AE28=IFERROR(LARGE(AE$7:AE$126,1),0),1,0))+IF(AF28=0,0,IF(AF28=IFERROR(LARGE(AF$7:AF$126,1),0),1,0))+IF(AG28=0,0,IF(AG28=IFERROR(LARGE(AG$7:AG$126,1),0),1,0))+IF(AH28=0,0,IF(AH28=IFERROR(LARGE(AH$7:AH$126,1),0),1,0))+IF(AI28=0,0,IF(AI28=IFERROR(LARGE(AI$7:AI$126,1),0),1,0))</f>
        <v>1</v>
      </c>
      <c r="AQ28" s="233"/>
      <c r="AR28" s="233"/>
      <c r="AS28" s="233"/>
      <c r="AT28" s="234">
        <f>SMALL(AU28:BD28,AT$3)</f>
        <v>0.0006</v>
      </c>
      <c r="AU28" s="235">
        <f>IF(Z28="  ",0+MID(Z$6,FIND("V",Z$6)+1,256)/10000,Z28+MID(Z$6,FIND("V",Z$6)+1,256)/10000)</f>
        <v>12.0001</v>
      </c>
      <c r="AV28" s="235">
        <f>IF(AA28="  ",0+MID(AA$6,FIND("V",AA$6)+1,256)/10000,AA28+MID(AA$6,FIND("V",AA$6)+1,256)/10000)</f>
        <v>12.0002</v>
      </c>
      <c r="AW28" s="235">
        <f>IF(AB28="  ",0+MID(AB$6,FIND("V",AB$6)+1,256)/10000,AB28+MID(AB$6,FIND("V",AB$6)+1,256)/10000)</f>
        <v>26.0003</v>
      </c>
      <c r="AX28" s="235">
        <f>IF(AC28="  ",0+MID(AC$6,FIND("V",AC$6)+1,256)/10000,AC28+MID(AC$6,FIND("V",AC$6)+1,256)/10000)</f>
        <v>14.0004</v>
      </c>
      <c r="AY28" s="235">
        <f>IF(AD28="  ",0+MID(AD$6,FIND("V",AD$6)+1,256)/10000,AD28+MID(AD$6,FIND("V",AD$6)+1,256)/10000)</f>
        <v>8.0005</v>
      </c>
      <c r="AZ28" s="235">
        <f>IF(AE28="  ",0+MID(AE$6,FIND("V",AE$6)+1,256)/10000,AE28+MID(AE$6,FIND("V",AE$6)+1,256)/10000)</f>
        <v>0.0006</v>
      </c>
      <c r="BA28" s="235">
        <f>IF(AF28="  ",0+MID(AF$6,FIND("V",AF$6)+1,256)/10000,AF28+MID(AF$6,FIND("V",AF$6)+1,256)/10000)</f>
        <v>0.0007</v>
      </c>
      <c r="BB28" s="235">
        <f>IF(AG28="  ",0+MID(AG$6,FIND("V",AG$6)+1,256)/10000,AG28+MID(AG$6,FIND("V",AG$6)+1,256)/10000)</f>
        <v>0.0008</v>
      </c>
      <c r="BC28" s="235">
        <f>IF(AH28="  ",0+MID(AH$6,FIND("V",AH$6)+1,256)/10000,AH28+MID(AH$6,FIND("V",AH$6)+1,256)/10000)</f>
        <v>0.0009</v>
      </c>
      <c r="BD28" s="235">
        <f>IF(AI28="  ",0+MID(AI$6,FIND("V",AI$6)+1,256)/10000,AI28+MID(AI$6,FIND("V",AI$6)+1,256)/10000)</f>
        <v>0.001</v>
      </c>
      <c r="BE28" s="233"/>
      <c r="BF28" s="233"/>
      <c r="BG28" s="233"/>
      <c r="BH28" s="233"/>
      <c r="BI28" s="3">
        <f>(LARGE(Z$7:Z$126,1)-Z28)/2+1</f>
        <v>4</v>
      </c>
      <c r="BJ28" s="3">
        <f>(LARGE(AA$7:AA$126,1)-AA28)/2+1</f>
        <v>9</v>
      </c>
      <c r="BK28" s="3">
        <f>(LARGE(AB$7:AB$126,1)-AB28)/2+1</f>
        <v>1</v>
      </c>
      <c r="BL28" s="3">
        <f>(LARGE(AC$7:AC$126,1)-AC28)/2+1</f>
        <v>8</v>
      </c>
      <c r="BM28" s="3">
        <f>(LARGE(AD$7:AD$126,1)-AD28)/2+1</f>
        <v>17</v>
      </c>
      <c r="BN28" s="3" t="e">
        <f>(LARGE(AE$7:AE$126,1)-AE28)/2+1</f>
        <v>#VALUE!</v>
      </c>
      <c r="BO28" s="3" t="e">
        <f>(LARGE(AF$7:AF$126,1)-AF28)/2+1</f>
        <v>#VALUE!</v>
      </c>
      <c r="BP28" s="3" t="e">
        <f>(LARGE(AG$7:AG$126,1)-AG28)/2+1</f>
        <v>#VALUE!</v>
      </c>
      <c r="BQ28" s="3" t="e">
        <f>(LARGE(AH$7:AH$126,1)-AH28)/2+1</f>
        <v>#NUM!</v>
      </c>
      <c r="BR28" s="3" t="e">
        <f>(LARGE(AI$7:AI$126,1)-AI28)/2+1</f>
        <v>#NUM!</v>
      </c>
    </row>
    <row r="29" spans="1:70">
      <c r="A29" s="139">
        <f>IF(R29&gt;0,IF(Q29="Viru SK",RANK(B29,B$7:B$126,1)-COUNTIF((Q$7:Q$126),"&lt;&gt;Viru SK"),""),"")</f>
        <v>17</v>
      </c>
      <c r="B29" s="140">
        <f>IF((Q29="Viru SK"),U29,U29-1000)</f>
        <v>23</v>
      </c>
      <c r="C29" s="141">
        <f>IF(R29&gt;0,IF(P29="t",RANK(D29,D$7:D$126,1)-COUNTBLANK(P$7:P$126),""),"")</f>
        <v>11</v>
      </c>
      <c r="D29" s="142">
        <f>IF((P29="t"),U29,U29-1000)</f>
        <v>23</v>
      </c>
      <c r="E29" s="143" t="str">
        <f>IF(R29&gt;0,IF(N29="m",RANK(F29,F$7:F$126,1)-COUNTBLANK(N$7:N$126),""),"")</f>
        <v/>
      </c>
      <c r="F29" s="144">
        <f>IF((N29="m"),U29,U29-1000)</f>
        <v>-977</v>
      </c>
      <c r="G29" s="145">
        <f>IF(R29&gt;0,IF(M29="n",RANK(H29,H$7:H$126,1)-COUNTBLANK(M$7:M$126),""),"")</f>
        <v>5</v>
      </c>
      <c r="H29" s="144">
        <f>IF((M29="n"),U29,U29-1000)</f>
        <v>23</v>
      </c>
      <c r="I29" s="160" t="str">
        <f>IF(R29&gt;0,IF(O29="j",RANK(J29,J$7:J$126,1)-COUNTBLANK(O$7:O$126),""),"")</f>
        <v/>
      </c>
      <c r="J29" s="161">
        <f>IF((O29="j"),U29,U29-1000)</f>
        <v>-977</v>
      </c>
      <c r="K29" s="162">
        <f>IF(R29&gt;0,RANK(U29,U$7:U$126,1),"")</f>
        <v>23</v>
      </c>
      <c r="L29" s="176" t="s">
        <v>220</v>
      </c>
      <c r="M29" s="177" t="s">
        <v>203</v>
      </c>
      <c r="N29" s="178" t="str">
        <f>IF(M29="","m","")</f>
        <v/>
      </c>
      <c r="O29" s="179"/>
      <c r="P29" s="180" t="s">
        <v>196</v>
      </c>
      <c r="Q29" s="192" t="s">
        <v>171</v>
      </c>
      <c r="R29" s="154">
        <f>(IF(COUNT(Z29,AA29,AB29,AC29,AD29,AE29,AF29,AG29,AH29,AI29)&lt;10,SUM(Z29,AA29,AB29,AC29,AD29,AE29,AF29,AG29,AH29,AI29),SUM(LARGE((Z29,AA29,AB29,AC29,AD29,AE29,AF29,AG29,AH29,AI29),{1;2;3;4;5;6;7;8;9}))))</f>
        <v>70</v>
      </c>
      <c r="S29" s="193" t="str">
        <f>INDEX(ETAPP!B$1:B$32,MATCH(COUNTIF(BI29:BR29,1),ETAPP!A$1:A$32,0))&amp;INDEX(ETAPP!B$1:B$32,MATCH(COUNTIF(BI29:BR29,2),ETAPP!A$1:A$32,0))&amp;INDEX(ETAPP!B$1:B$32,MATCH(COUNTIF(BI29:BR29,3),ETAPP!A$1:A$32,0))&amp;INDEX(ETAPP!B$1:B$32,MATCH(COUNTIF(BI29:BR29,4),ETAPP!A$1:A$32,0))&amp;INDEX(ETAPP!B$1:B$32,MATCH(COUNTIF(BI29:BR29,5),ETAPP!A$1:A$32,0))&amp;INDEX(ETAPP!B$1:B$32,MATCH(COUNTIF(BI29:BR29,6),ETAPP!A$1:A$32,0))&amp;INDEX(ETAPP!B$1:B$32,MATCH(COUNTIF(BI29:BR29,7),ETAPP!A$1:A$32,0))&amp;INDEX(ETAPP!B$1:B$32,MATCH(COUNTIF(BI29:BR29,8),ETAPP!A$1:A$32,0))&amp;INDEX(ETAPP!B$1:B$32,MATCH(COUNTIF(BI29:BR29,9),ETAPP!A$1:A$32,0))&amp;INDEX(ETAPP!B$1:B$32,MATCH(COUNTIF(BI29:BR29,10),ETAPP!A$1:A$32,0))&amp;INDEX(ETAPP!B$1:B$32,MATCH(COUNTIF(BI29:BR29,11),ETAPP!A$1:A$32,0))&amp;INDEX(ETAPP!B$1:B$32,MATCH(COUNTIF(BI29:BR29,12),ETAPP!A$1:A$32,0))&amp;INDEX(ETAPP!B$1:B$32,MATCH(COUNTIF(BI29:BR29,13),ETAPP!A$1:A$32,0))&amp;INDEX(ETAPP!B$1:B$32,MATCH(COUNTIF(BI29:BR29,14),ETAPP!A$1:A$32,0))&amp;INDEX(ETAPP!B$1:B$32,MATCH(COUNTIF(BI29:BR29,15),ETAPP!A$1:A$32,0))&amp;INDEX(ETAPP!B$1:B$32,MATCH(COUNTIF(BI29:BR29,16),ETAPP!A$1:A$32,0))&amp;INDEX(ETAPP!B$1:B$32,MATCH(COUNTIF(BI29:BR29,17),ETAPP!A$1:A$32,0))&amp;INDEX(ETAPP!B$1:B$32,MATCH(COUNTIF(BI29:BR29,18),ETAPP!A$1:A$32,0))&amp;INDEX(ETAPP!B$1:B$32,MATCH(COUNTIF(BI29:BR29,19),ETAPP!A$1:A$32,0))&amp;INDEX(ETAPP!B$1:B$32,MATCH(COUNTIF(BI29:BR29,20),ETAPP!A$1:A$32,0))&amp;INDEX(ETAPP!B$1:B$32,MATCH(COUNTIF(BI29:BR29,21),ETAPP!A$1:A$32,0))</f>
        <v>00000AAAA0000A0000000</v>
      </c>
      <c r="T29" s="193" t="str">
        <f>TEXT(R29,"000,0")&amp;"-"&amp;S29</f>
        <v>070,0-00000AAAA0000A0000000</v>
      </c>
      <c r="U29" s="193">
        <f>COUNTIF(T$7:T$126,"&gt;="&amp;T29)</f>
        <v>23</v>
      </c>
      <c r="V29" s="193">
        <f>COUNTIF(L$7:L$126,"&gt;="&amp;L29)</f>
        <v>50</v>
      </c>
      <c r="W29" s="193" t="str">
        <f>TEXT(R29,"000,0")&amp;"-"&amp;S29&amp;"-"&amp;TEXT(V29,"000")</f>
        <v>070,0-00000AAAA0000A0000000-050</v>
      </c>
      <c r="X29" s="193">
        <f>COUNTIF(W$7:W$126,"&gt;="&amp;W29)</f>
        <v>23</v>
      </c>
      <c r="Y29" s="201">
        <f>RANK(X29,X$7:X$126,0)</f>
        <v>98</v>
      </c>
      <c r="Z29" s="202" t="str">
        <f>IFERROR(INDEX('V1'!C$300:C$400,MATCH("*"&amp;L29&amp;"*",'V1'!B$300:B$400,0)),"  ")</f>
        <v>  </v>
      </c>
      <c r="AA29" s="202" t="str">
        <f>IFERROR(INDEX('V2'!C$300:C$400,MATCH("*"&amp;L29&amp;"*",'V2'!B$300:B$400,0)),"  ")</f>
        <v>  </v>
      </c>
      <c r="AB29" s="202">
        <f>IFERROR(INDEX('V3'!C$300:C$400,MATCH("*"&amp;L29&amp;"*",'V3'!B$300:B$400,0)),"  ")</f>
        <v>10</v>
      </c>
      <c r="AC29" s="202" t="str">
        <f>IFERROR(INDEX('V4'!C$300:C$400,MATCH("*"&amp;L29&amp;"*",'V4'!B$300:B$400,0)),"  ")</f>
        <v>  </v>
      </c>
      <c r="AD29" s="202">
        <f>IFERROR(INDEX('V5'!C$300:C$400,MATCH("*"&amp;L29&amp;"*",'V5'!B$300:B$400,0)),"  ")</f>
        <v>26</v>
      </c>
      <c r="AE29" s="202">
        <f>IFERROR(INDEX('V6'!C$300:C$400,MATCH("*"&amp;L29&amp;"*",'V6'!B$300:B$400,0)),"  ")</f>
        <v>2</v>
      </c>
      <c r="AF29" s="202">
        <f>IFERROR(INDEX('V7'!C$300:C$400,MATCH("*"&amp;L29&amp;"*",'V7'!B$300:B$400,0)),"  ")</f>
        <v>18</v>
      </c>
      <c r="AG29" s="202">
        <f>IFERROR(INDEX('V8'!C$300:C$400,MATCH("*"&amp;L29&amp;"*",'V8'!B$300:B$400,0)),"  ")</f>
        <v>14</v>
      </c>
      <c r="AH29" s="202"/>
      <c r="AI29" s="202"/>
      <c r="AJ29" s="222">
        <f>IF(AN29&gt;(AT$2-1),K29,"")</f>
        <v>23</v>
      </c>
      <c r="AK29" s="223">
        <f>SUM(Z29:AI29)</f>
        <v>70</v>
      </c>
      <c r="AL29" s="224" t="str">
        <f>IFERROR("edasi "&amp;RANK(AJ29,AJ$7:AJ$126,1),K29)</f>
        <v>edasi 23</v>
      </c>
      <c r="AM29" s="225" t="str">
        <f>IFERROR(INDEX(#REF!,MATCH("*"&amp;L29&amp;"*",#REF!,0)),"  ")</f>
        <v>  </v>
      </c>
      <c r="AN29" s="226">
        <f>COUNTIF(Z29:AI29,"&gt;=0")</f>
        <v>5</v>
      </c>
      <c r="AO29" s="126">
        <f>IFERROR(IF(Z29+1&gt;LARGE(Z$7:Z$126,1)-2*LEN(Z$5),1),0)+IFERROR(IF(AA29+1&gt;LARGE(AA$7:AA$126,1)-2*LEN(AA$5),1),0)+IFERROR(IF(AB29+1&gt;LARGE(AB$7:AB$126,1)-2*LEN(AB$5),1),0)+IFERROR(IF(AC29+1&gt;LARGE(AC$7:AC$126,1)-2*LEN(AC$5),1),0)+IFERROR(IF(AD29+1&gt;LARGE(AD$7:AD$126,1)-2*LEN(AD$5),1),0)+IFERROR(IF(AE29+1&gt;LARGE(AE$7:AE$126,1)-2*LEN(AE$5),1),0)+IFERROR(IF(AF29+1&gt;LARGE(AF$7:AF$126,1)-2*LEN(AF$5),1),0)+IFERROR(IF(AG29+1&gt;LARGE(AG$7:AG$126,1)-2*LEN(AG$5),1),0)+IFERROR(IF(AH29+1&gt;LARGE(AH$7:AH$126,1)-2*LEN(AH$5),1),0)+IFERROR(IF(AI29+1&gt;LARGE(AI$7:AI$126,1)-2*LEN(AI$5),1),0)</f>
        <v>0</v>
      </c>
      <c r="AP29" s="126">
        <f>IF(Z29=0,0,IF(Z29=IFERROR(LARGE(Z$7:Z$126,1),0),1,0))+IF(AA29=0,0,IF(AA29=IFERROR(LARGE(AA$7:AA$126,1),0),1,0))+IF(AB29=0,0,IF(AB29=IFERROR(LARGE(AB$7:AB$126,1),0),1,0))+IF(AC29=0,0,IF(AC29=IFERROR(LARGE(AC$7:AC$126,1),0),1,0))+IF(AD29=0,0,IF(AD29=IFERROR(LARGE(AD$7:AD$126,1),0),1,0))+IF(AE29=0,0,IF(AE29=IFERROR(LARGE(AE$7:AE$126,1),0),1,0))+IF(AF29=0,0,IF(AF29=IFERROR(LARGE(AF$7:AF$126,1),0),1,0))+IF(AG29=0,0,IF(AG29=IFERROR(LARGE(AG$7:AG$126,1),0),1,0))+IF(AH29=0,0,IF(AH29=IFERROR(LARGE(AH$7:AH$126,1),0),1,0))+IF(AI29=0,0,IF(AI29=IFERROR(LARGE(AI$7:AI$126,1),0),1,0))</f>
        <v>0</v>
      </c>
      <c r="AQ29" s="233"/>
      <c r="AR29" s="233"/>
      <c r="AS29" s="233"/>
      <c r="AT29" s="234">
        <f>SMALL(AU29:BD29,AT$3)</f>
        <v>0.0001</v>
      </c>
      <c r="AU29" s="235">
        <f>IF(Z29="  ",0+MID(Z$6,FIND("V",Z$6)+1,256)/10000,Z29+MID(Z$6,FIND("V",Z$6)+1,256)/10000)</f>
        <v>0.0001</v>
      </c>
      <c r="AV29" s="235">
        <f>IF(AA29="  ",0+MID(AA$6,FIND("V",AA$6)+1,256)/10000,AA29+MID(AA$6,FIND("V",AA$6)+1,256)/10000)</f>
        <v>0.0002</v>
      </c>
      <c r="AW29" s="235">
        <f>IF(AB29="  ",0+MID(AB$6,FIND("V",AB$6)+1,256)/10000,AB29+MID(AB$6,FIND("V",AB$6)+1,256)/10000)</f>
        <v>10.0003</v>
      </c>
      <c r="AX29" s="235">
        <f>IF(AC29="  ",0+MID(AC$6,FIND("V",AC$6)+1,256)/10000,AC29+MID(AC$6,FIND("V",AC$6)+1,256)/10000)</f>
        <v>0.0004</v>
      </c>
      <c r="AY29" s="235">
        <f>IF(AD29="  ",0+MID(AD$6,FIND("V",AD$6)+1,256)/10000,AD29+MID(AD$6,FIND("V",AD$6)+1,256)/10000)</f>
        <v>26.0005</v>
      </c>
      <c r="AZ29" s="235">
        <f>IF(AE29="  ",0+MID(AE$6,FIND("V",AE$6)+1,256)/10000,AE29+MID(AE$6,FIND("V",AE$6)+1,256)/10000)</f>
        <v>2.0006</v>
      </c>
      <c r="BA29" s="235">
        <f>IF(AF29="  ",0+MID(AF$6,FIND("V",AF$6)+1,256)/10000,AF29+MID(AF$6,FIND("V",AF$6)+1,256)/10000)</f>
        <v>18.0007</v>
      </c>
      <c r="BB29" s="235">
        <f>IF(AG29="  ",0+MID(AG$6,FIND("V",AG$6)+1,256)/10000,AG29+MID(AG$6,FIND("V",AG$6)+1,256)/10000)</f>
        <v>14.0008</v>
      </c>
      <c r="BC29" s="235">
        <f>IF(AH29="  ",0+MID(AH$6,FIND("V",AH$6)+1,256)/10000,AH29+MID(AH$6,FIND("V",AH$6)+1,256)/10000)</f>
        <v>0.0009</v>
      </c>
      <c r="BD29" s="235">
        <f>IF(AI29="  ",0+MID(AI$6,FIND("V",AI$6)+1,256)/10000,AI29+MID(AI$6,FIND("V",AI$6)+1,256)/10000)</f>
        <v>0.001</v>
      </c>
      <c r="BE29" s="233"/>
      <c r="BF29" s="233"/>
      <c r="BG29" s="233"/>
      <c r="BH29" s="233"/>
      <c r="BI29" s="3" t="e">
        <f>(LARGE(Z$7:Z$126,1)-Z29)/2+1</f>
        <v>#VALUE!</v>
      </c>
      <c r="BJ29" s="3" t="e">
        <f>(LARGE(AA$7:AA$126,1)-AA29)/2+1</f>
        <v>#VALUE!</v>
      </c>
      <c r="BK29" s="3">
        <f>(LARGE(AB$7:AB$126,1)-AB29)/2+1</f>
        <v>9</v>
      </c>
      <c r="BL29" s="3" t="e">
        <f>(LARGE(AC$7:AC$126,1)-AC29)/2+1</f>
        <v>#VALUE!</v>
      </c>
      <c r="BM29" s="3">
        <f>(LARGE(AD$7:AD$126,1)-AD29)/2+1</f>
        <v>8</v>
      </c>
      <c r="BN29" s="3">
        <f>(LARGE(AE$7:AE$126,1)-AE29)/2+1</f>
        <v>14</v>
      </c>
      <c r="BO29" s="3">
        <f>(LARGE(AF$7:AF$126,1)-AF29)/2+1</f>
        <v>6</v>
      </c>
      <c r="BP29" s="3">
        <f>(LARGE(AG$7:AG$126,1)-AG29)/2+1</f>
        <v>7</v>
      </c>
      <c r="BQ29" s="3" t="e">
        <f>(LARGE(AH$7:AH$126,1)-AH29)/2+1</f>
        <v>#NUM!</v>
      </c>
      <c r="BR29" s="3" t="e">
        <f>(LARGE(AI$7:AI$126,1)-AI29)/2+1</f>
        <v>#NUM!</v>
      </c>
    </row>
    <row r="30" spans="1:70">
      <c r="A30" s="139">
        <f>IF(R30&gt;0,IF(Q30="Viru SK",RANK(B30,B$7:B$126,1)-COUNTIF((Q$7:Q$126),"&lt;&gt;Viru SK"),""),"")</f>
        <v>18</v>
      </c>
      <c r="B30" s="140">
        <f>IF((Q30="Viru SK"),U30,U30-1000)</f>
        <v>25</v>
      </c>
      <c r="C30" s="141" t="str">
        <f>IF(R30&gt;0,IF(P30="t",RANK(D30,D$7:D$126,1)-COUNTBLANK(P$7:P$126),""),"")</f>
        <v/>
      </c>
      <c r="D30" s="142">
        <f>IF((P30="t"),U30,U30-1000)</f>
        <v>-975</v>
      </c>
      <c r="E30" s="143" t="str">
        <f>IF(R30&gt;0,IF(N30="m",RANK(F30,F$7:F$126,1)-COUNTBLANK(N$7:N$126),""),"")</f>
        <v/>
      </c>
      <c r="F30" s="144">
        <f>IF((N30="m"),U30,U30-1000)</f>
        <v>-975</v>
      </c>
      <c r="G30" s="145">
        <f>IF(R30&gt;0,IF(M30="n",RANK(H30,H$7:H$126,1)-COUNTBLANK(M$7:M$126),""),"")</f>
        <v>6</v>
      </c>
      <c r="H30" s="144">
        <f>IF((M30="n"),U30,U30-1000)</f>
        <v>25</v>
      </c>
      <c r="I30" s="160" t="str">
        <f>IF(R30&gt;0,IF(O30="j",RANK(J30,J$7:J$126,1)-COUNTBLANK(O$7:O$126),""),"")</f>
        <v/>
      </c>
      <c r="J30" s="161">
        <f>IF((O30="j"),U30,U30-1000)</f>
        <v>-975</v>
      </c>
      <c r="K30" s="162">
        <f>IF(R30&gt;0,RANK(U30,U$7:U$126,1),"")</f>
        <v>24</v>
      </c>
      <c r="L30" s="163" t="s">
        <v>221</v>
      </c>
      <c r="M30" s="164" t="s">
        <v>203</v>
      </c>
      <c r="N30" s="165" t="str">
        <f>IF(M30="","m","")</f>
        <v/>
      </c>
      <c r="O30" s="166"/>
      <c r="P30" s="167"/>
      <c r="Q30" s="192" t="s">
        <v>171</v>
      </c>
      <c r="R30" s="154">
        <f>(IF(COUNT(Z30,AA30,AB30,AC30,AD30,AE30,AF30,AG30,AH30,AI30)&lt;10,SUM(Z30,AA30,AB30,AC30,AD30,AE30,AF30,AG30,AH30,AI30),SUM(LARGE((Z30,AA30,AB30,AC30,AD30,AE30,AF30,AG30,AH30,AI30),{1;2;3;4;5;6;7;8;9}))))</f>
        <v>70</v>
      </c>
      <c r="S30" s="193" t="str">
        <f>INDEX(ETAPP!B$1:B$32,MATCH(COUNTIF(BI30:BR30,1),ETAPP!A$1:A$32,0))&amp;INDEX(ETAPP!B$1:B$32,MATCH(COUNTIF(BI30:BR30,2),ETAPP!A$1:A$32,0))&amp;INDEX(ETAPP!B$1:B$32,MATCH(COUNTIF(BI30:BR30,3),ETAPP!A$1:A$32,0))&amp;INDEX(ETAPP!B$1:B$32,MATCH(COUNTIF(BI30:BR30,4),ETAPP!A$1:A$32,0))&amp;INDEX(ETAPP!B$1:B$32,MATCH(COUNTIF(BI30:BR30,5),ETAPP!A$1:A$32,0))&amp;INDEX(ETAPP!B$1:B$32,MATCH(COUNTIF(BI30:BR30,6),ETAPP!A$1:A$32,0))&amp;INDEX(ETAPP!B$1:B$32,MATCH(COUNTIF(BI30:BR30,7),ETAPP!A$1:A$32,0))&amp;INDEX(ETAPP!B$1:B$32,MATCH(COUNTIF(BI30:BR30,8),ETAPP!A$1:A$32,0))&amp;INDEX(ETAPP!B$1:B$32,MATCH(COUNTIF(BI30:BR30,9),ETAPP!A$1:A$32,0))&amp;INDEX(ETAPP!B$1:B$32,MATCH(COUNTIF(BI30:BR30,10),ETAPP!A$1:A$32,0))&amp;INDEX(ETAPP!B$1:B$32,MATCH(COUNTIF(BI30:BR30,11),ETAPP!A$1:A$32,0))&amp;INDEX(ETAPP!B$1:B$32,MATCH(COUNTIF(BI30:BR30,12),ETAPP!A$1:A$32,0))&amp;INDEX(ETAPP!B$1:B$32,MATCH(COUNTIF(BI30:BR30,13),ETAPP!A$1:A$32,0))&amp;INDEX(ETAPP!B$1:B$32,MATCH(COUNTIF(BI30:BR30,14),ETAPP!A$1:A$32,0))&amp;INDEX(ETAPP!B$1:B$32,MATCH(COUNTIF(BI30:BR30,15),ETAPP!A$1:A$32,0))&amp;INDEX(ETAPP!B$1:B$32,MATCH(COUNTIF(BI30:BR30,16),ETAPP!A$1:A$32,0))&amp;INDEX(ETAPP!B$1:B$32,MATCH(COUNTIF(BI30:BR30,17),ETAPP!A$1:A$32,0))&amp;INDEX(ETAPP!B$1:B$32,MATCH(COUNTIF(BI30:BR30,18),ETAPP!A$1:A$32,0))&amp;INDEX(ETAPP!B$1:B$32,MATCH(COUNTIF(BI30:BR30,19),ETAPP!A$1:A$32,0))&amp;INDEX(ETAPP!B$1:B$32,MATCH(COUNTIF(BI30:BR30,20),ETAPP!A$1:A$32,0))&amp;INDEX(ETAPP!B$1:B$32,MATCH(COUNTIF(BI30:BR30,21),ETAPP!A$1:A$32,0))</f>
        <v>00000A0AAAA0000000000</v>
      </c>
      <c r="T30" s="193" t="str">
        <f>TEXT(R30,"000,0")&amp;"-"&amp;S30</f>
        <v>070,0-00000A0AAAA0000000000</v>
      </c>
      <c r="U30" s="193">
        <f>COUNTIF(T$7:T$126,"&gt;="&amp;T30)</f>
        <v>25</v>
      </c>
      <c r="V30" s="193">
        <f>COUNTIF(L$7:L$126,"&gt;="&amp;L30)</f>
        <v>60</v>
      </c>
      <c r="W30" s="193" t="str">
        <f>TEXT(R30,"000,0")&amp;"-"&amp;S30&amp;"-"&amp;TEXT(V30,"000")</f>
        <v>070,0-00000A0AAAA0000000000-060</v>
      </c>
      <c r="X30" s="193">
        <f>COUNTIF(W$7:W$126,"&gt;="&amp;W30)</f>
        <v>24</v>
      </c>
      <c r="Y30" s="201">
        <f>RANK(X30,X$7:X$126,0)</f>
        <v>97</v>
      </c>
      <c r="Z30" s="202" t="str">
        <f>IFERROR(INDEX('V1'!C$300:C$400,MATCH("*"&amp;L30&amp;"*",'V1'!B$300:B$400,0)),"  ")</f>
        <v>  </v>
      </c>
      <c r="AA30" s="202" t="str">
        <f>IFERROR(INDEX('V2'!C$300:C$400,MATCH("*"&amp;L30&amp;"*",'V2'!B$300:B$400,0)),"  ")</f>
        <v>  </v>
      </c>
      <c r="AB30" s="202">
        <f>IFERROR(INDEX('V3'!C$300:C$400,MATCH("*"&amp;L30&amp;"*",'V3'!B$300:B$400,0)),"  ")</f>
        <v>16</v>
      </c>
      <c r="AC30" s="202" t="str">
        <f>IFERROR(INDEX('V4'!C$300:C$400,MATCH("*"&amp;L30&amp;"*",'V4'!B$300:B$400,0)),"  ")</f>
        <v>  </v>
      </c>
      <c r="AD30" s="202">
        <f>IFERROR(INDEX('V5'!C$300:C$400,MATCH("*"&amp;L30&amp;"*",'V5'!B$300:B$400,0)),"  ")</f>
        <v>24</v>
      </c>
      <c r="AE30" s="202">
        <f>IFERROR(INDEX('V6'!C$300:C$400,MATCH("*"&amp;L30&amp;"*",'V6'!B$300:B$400,0)),"  ")</f>
        <v>10</v>
      </c>
      <c r="AF30" s="202">
        <f>IFERROR(INDEX('V7'!C$300:C$400,MATCH("*"&amp;L30&amp;"*",'V7'!B$300:B$400,0)),"  ")</f>
        <v>8</v>
      </c>
      <c r="AG30" s="202">
        <f>IFERROR(INDEX('V8'!C$300:C$400,MATCH("*"&amp;L30&amp;"*",'V8'!B$300:B$400,0)),"  ")</f>
        <v>12</v>
      </c>
      <c r="AH30" s="202"/>
      <c r="AI30" s="202"/>
      <c r="AJ30" s="222">
        <f>IF(AN30&gt;(AT$2-1),K30,"")</f>
        <v>24</v>
      </c>
      <c r="AK30" s="223">
        <f>SUM(Z30:AI30)</f>
        <v>70</v>
      </c>
      <c r="AL30" s="224" t="str">
        <f>IFERROR("edasi "&amp;RANK(AJ30,AJ$7:AJ$126,1),K30)</f>
        <v>edasi 24</v>
      </c>
      <c r="AM30" s="225" t="str">
        <f>IFERROR(INDEX(#REF!,MATCH("*"&amp;L30&amp;"*",#REF!,0)),"  ")</f>
        <v>  </v>
      </c>
      <c r="AN30" s="226">
        <f>COUNTIF(Z30:AI30,"&gt;=0")</f>
        <v>5</v>
      </c>
      <c r="AO30" s="126">
        <f>IFERROR(IF(Z30+1&gt;LARGE(Z$7:Z$126,1)-2*LEN(Z$5),1),0)+IFERROR(IF(AA30+1&gt;LARGE(AA$7:AA$126,1)-2*LEN(AA$5),1),0)+IFERROR(IF(AB30+1&gt;LARGE(AB$7:AB$126,1)-2*LEN(AB$5),1),0)+IFERROR(IF(AC30+1&gt;LARGE(AC$7:AC$126,1)-2*LEN(AC$5),1),0)+IFERROR(IF(AD30+1&gt;LARGE(AD$7:AD$126,1)-2*LEN(AD$5),1),0)+IFERROR(IF(AE30+1&gt;LARGE(AE$7:AE$126,1)-2*LEN(AE$5),1),0)+IFERROR(IF(AF30+1&gt;LARGE(AF$7:AF$126,1)-2*LEN(AF$5),1),0)+IFERROR(IF(AG30+1&gt;LARGE(AG$7:AG$126,1)-2*LEN(AG$5),1),0)+IFERROR(IF(AH30+1&gt;LARGE(AH$7:AH$126,1)-2*LEN(AH$5),1),0)+IFERROR(IF(AI30+1&gt;LARGE(AI$7:AI$126,1)-2*LEN(AI$5),1),0)</f>
        <v>0</v>
      </c>
      <c r="AP30" s="126">
        <f>IF(Z30=0,0,IF(Z30=IFERROR(LARGE(Z$7:Z$126,1),0),1,0))+IF(AA30=0,0,IF(AA30=IFERROR(LARGE(AA$7:AA$126,1),0),1,0))+IF(AB30=0,0,IF(AB30=IFERROR(LARGE(AB$7:AB$126,1),0),1,0))+IF(AC30=0,0,IF(AC30=IFERROR(LARGE(AC$7:AC$126,1),0),1,0))+IF(AD30=0,0,IF(AD30=IFERROR(LARGE(AD$7:AD$126,1),0),1,0))+IF(AE30=0,0,IF(AE30=IFERROR(LARGE(AE$7:AE$126,1),0),1,0))+IF(AF30=0,0,IF(AF30=IFERROR(LARGE(AF$7:AF$126,1),0),1,0))+IF(AG30=0,0,IF(AG30=IFERROR(LARGE(AG$7:AG$126,1),0),1,0))+IF(AH30=0,0,IF(AH30=IFERROR(LARGE(AH$7:AH$126,1),0),1,0))+IF(AI30=0,0,IF(AI30=IFERROR(LARGE(AI$7:AI$126,1),0),1,0))</f>
        <v>0</v>
      </c>
      <c r="AQ30" s="233"/>
      <c r="AR30" s="233"/>
      <c r="AS30" s="233"/>
      <c r="AT30" s="234">
        <f>SMALL(AU30:BD30,AT$3)</f>
        <v>0.0001</v>
      </c>
      <c r="AU30" s="235">
        <f>IF(Z30="  ",0+MID(Z$6,FIND("V",Z$6)+1,256)/10000,Z30+MID(Z$6,FIND("V",Z$6)+1,256)/10000)</f>
        <v>0.0001</v>
      </c>
      <c r="AV30" s="235">
        <f>IF(AA30="  ",0+MID(AA$6,FIND("V",AA$6)+1,256)/10000,AA30+MID(AA$6,FIND("V",AA$6)+1,256)/10000)</f>
        <v>0.0002</v>
      </c>
      <c r="AW30" s="235">
        <f>IF(AB30="  ",0+MID(AB$6,FIND("V",AB$6)+1,256)/10000,AB30+MID(AB$6,FIND("V",AB$6)+1,256)/10000)</f>
        <v>16.0003</v>
      </c>
      <c r="AX30" s="235">
        <f>IF(AC30="  ",0+MID(AC$6,FIND("V",AC$6)+1,256)/10000,AC30+MID(AC$6,FIND("V",AC$6)+1,256)/10000)</f>
        <v>0.0004</v>
      </c>
      <c r="AY30" s="235">
        <f>IF(AD30="  ",0+MID(AD$6,FIND("V",AD$6)+1,256)/10000,AD30+MID(AD$6,FIND("V",AD$6)+1,256)/10000)</f>
        <v>24.0005</v>
      </c>
      <c r="AZ30" s="235">
        <f>IF(AE30="  ",0+MID(AE$6,FIND("V",AE$6)+1,256)/10000,AE30+MID(AE$6,FIND("V",AE$6)+1,256)/10000)</f>
        <v>10.0006</v>
      </c>
      <c r="BA30" s="235">
        <f>IF(AF30="  ",0+MID(AF$6,FIND("V",AF$6)+1,256)/10000,AF30+MID(AF$6,FIND("V",AF$6)+1,256)/10000)</f>
        <v>8.0007</v>
      </c>
      <c r="BB30" s="235">
        <f>IF(AG30="  ",0+MID(AG$6,FIND("V",AG$6)+1,256)/10000,AG30+MID(AG$6,FIND("V",AG$6)+1,256)/10000)</f>
        <v>12.0008</v>
      </c>
      <c r="BC30" s="235">
        <f>IF(AH30="  ",0+MID(AH$6,FIND("V",AH$6)+1,256)/10000,AH30+MID(AH$6,FIND("V",AH$6)+1,256)/10000)</f>
        <v>0.0009</v>
      </c>
      <c r="BD30" s="235">
        <f>IF(AI30="  ",0+MID(AI$6,FIND("V",AI$6)+1,256)/10000,AI30+MID(AI$6,FIND("V",AI$6)+1,256)/10000)</f>
        <v>0.001</v>
      </c>
      <c r="BE30" s="233"/>
      <c r="BF30" s="233"/>
      <c r="BG30" s="233"/>
      <c r="BH30" s="233"/>
      <c r="BI30" s="3" t="e">
        <f>(LARGE(Z$7:Z$126,1)-Z30)/2+1</f>
        <v>#VALUE!</v>
      </c>
      <c r="BJ30" s="3" t="e">
        <f>(LARGE(AA$7:AA$126,1)-AA30)/2+1</f>
        <v>#VALUE!</v>
      </c>
      <c r="BK30" s="3">
        <f>(LARGE(AB$7:AB$126,1)-AB30)/2+1</f>
        <v>6</v>
      </c>
      <c r="BL30" s="3" t="e">
        <f>(LARGE(AC$7:AC$126,1)-AC30)/2+1</f>
        <v>#VALUE!</v>
      </c>
      <c r="BM30" s="3">
        <f>(LARGE(AD$7:AD$126,1)-AD30)/2+1</f>
        <v>9</v>
      </c>
      <c r="BN30" s="3">
        <f>(LARGE(AE$7:AE$126,1)-AE30)/2+1</f>
        <v>10</v>
      </c>
      <c r="BO30" s="3">
        <f>(LARGE(AF$7:AF$126,1)-AF30)/2+1</f>
        <v>11</v>
      </c>
      <c r="BP30" s="3">
        <f>(LARGE(AG$7:AG$126,1)-AG30)/2+1</f>
        <v>8</v>
      </c>
      <c r="BQ30" s="3" t="e">
        <f>(LARGE(AH$7:AH$126,1)-AH30)/2+1</f>
        <v>#NUM!</v>
      </c>
      <c r="BR30" s="3" t="e">
        <f>(LARGE(AI$7:AI$126,1)-AI30)/2+1</f>
        <v>#NUM!</v>
      </c>
    </row>
    <row r="31" spans="1:70">
      <c r="A31" s="139">
        <f>IF(R31&gt;0,IF(Q31="Viru SK",RANK(B31,B$7:B$126,1)-COUNTIF((Q$7:Q$126),"&lt;&gt;Viru SK"),""),"")</f>
        <v>18</v>
      </c>
      <c r="B31" s="140">
        <f>IF((Q31="Viru SK"),U31,U31-1000)</f>
        <v>25</v>
      </c>
      <c r="C31" s="141" t="str">
        <f>IF(R31&gt;0,IF(P31="t",RANK(D31,D$7:D$126,1)-COUNTBLANK(P$7:P$126),""),"")</f>
        <v/>
      </c>
      <c r="D31" s="142">
        <f>IF((P31="t"),U31,U31-1000)</f>
        <v>-975</v>
      </c>
      <c r="E31" s="143">
        <f>IF(R31&gt;0,IF(N31="m",RANK(F31,F$7:F$126,1)-COUNTBLANK(N$7:N$126),""),"")</f>
        <v>20</v>
      </c>
      <c r="F31" s="144">
        <f>IF((N31="m"),U31,U31-1000)</f>
        <v>25</v>
      </c>
      <c r="G31" s="145" t="str">
        <f>IF(R31&gt;0,IF(M31="n",RANK(H31,H$7:H$126,1)-COUNTBLANK(M$7:M$126),""),"")</f>
        <v/>
      </c>
      <c r="H31" s="144">
        <f>IF((M31="n"),U31,U31-1000)</f>
        <v>-975</v>
      </c>
      <c r="I31" s="160" t="str">
        <f>IF(R31&gt;0,IF(O31="j",RANK(J31,J$7:J$126,1)-COUNTBLANK(O$7:O$126),""),"")</f>
        <v/>
      </c>
      <c r="J31" s="161">
        <f>IF((O31="j"),U31,U31-1000)</f>
        <v>-975</v>
      </c>
      <c r="K31" s="162">
        <f>IF(R31&gt;0,RANK(U31,U$7:U$126,1),"")</f>
        <v>24</v>
      </c>
      <c r="L31" s="163" t="s">
        <v>222</v>
      </c>
      <c r="M31" s="164"/>
      <c r="N31" s="165" t="str">
        <f>IF(M31="","m","")</f>
        <v>m</v>
      </c>
      <c r="O31" s="166"/>
      <c r="P31" s="167"/>
      <c r="Q31" s="192" t="s">
        <v>171</v>
      </c>
      <c r="R31" s="154">
        <f>(IF(COUNT(Z31,AA31,AB31,AC31,AD31,AE31,AF31,AG31,AH31,AI31)&lt;10,SUM(Z31,AA31,AB31,AC31,AD31,AE31,AF31,AG31,AH31,AI31),SUM(LARGE((Z31,AA31,AB31,AC31,AD31,AE31,AF31,AG31,AH31,AI31),{1;2;3;4;5;6;7;8;9}))))</f>
        <v>70</v>
      </c>
      <c r="S31" s="193" t="str">
        <f>INDEX(ETAPP!B$1:B$32,MATCH(COUNTIF(BI31:BR31,1),ETAPP!A$1:A$32,0))&amp;INDEX(ETAPP!B$1:B$32,MATCH(COUNTIF(BI31:BR31,2),ETAPP!A$1:A$32,0))&amp;INDEX(ETAPP!B$1:B$32,MATCH(COUNTIF(BI31:BR31,3),ETAPP!A$1:A$32,0))&amp;INDEX(ETAPP!B$1:B$32,MATCH(COUNTIF(BI31:BR31,4),ETAPP!A$1:A$32,0))&amp;INDEX(ETAPP!B$1:B$32,MATCH(COUNTIF(BI31:BR31,5),ETAPP!A$1:A$32,0))&amp;INDEX(ETAPP!B$1:B$32,MATCH(COUNTIF(BI31:BR31,6),ETAPP!A$1:A$32,0))&amp;INDEX(ETAPP!B$1:B$32,MATCH(COUNTIF(BI31:BR31,7),ETAPP!A$1:A$32,0))&amp;INDEX(ETAPP!B$1:B$32,MATCH(COUNTIF(BI31:BR31,8),ETAPP!A$1:A$32,0))&amp;INDEX(ETAPP!B$1:B$32,MATCH(COUNTIF(BI31:BR31,9),ETAPP!A$1:A$32,0))&amp;INDEX(ETAPP!B$1:B$32,MATCH(COUNTIF(BI31:BR31,10),ETAPP!A$1:A$32,0))&amp;INDEX(ETAPP!B$1:B$32,MATCH(COUNTIF(BI31:BR31,11),ETAPP!A$1:A$32,0))&amp;INDEX(ETAPP!B$1:B$32,MATCH(COUNTIF(BI31:BR31,12),ETAPP!A$1:A$32,0))&amp;INDEX(ETAPP!B$1:B$32,MATCH(COUNTIF(BI31:BR31,13),ETAPP!A$1:A$32,0))&amp;INDEX(ETAPP!B$1:B$32,MATCH(COUNTIF(BI31:BR31,14),ETAPP!A$1:A$32,0))&amp;INDEX(ETAPP!B$1:B$32,MATCH(COUNTIF(BI31:BR31,15),ETAPP!A$1:A$32,0))&amp;INDEX(ETAPP!B$1:B$32,MATCH(COUNTIF(BI31:BR31,16),ETAPP!A$1:A$32,0))&amp;INDEX(ETAPP!B$1:B$32,MATCH(COUNTIF(BI31:BR31,17),ETAPP!A$1:A$32,0))&amp;INDEX(ETAPP!B$1:B$32,MATCH(COUNTIF(BI31:BR31,18),ETAPP!A$1:A$32,0))&amp;INDEX(ETAPP!B$1:B$32,MATCH(COUNTIF(BI31:BR31,19),ETAPP!A$1:A$32,0))&amp;INDEX(ETAPP!B$1:B$32,MATCH(COUNTIF(BI31:BR31,20),ETAPP!A$1:A$32,0))&amp;INDEX(ETAPP!B$1:B$32,MATCH(COUNTIF(BI31:BR31,21),ETAPP!A$1:A$32,0))</f>
        <v>00000A0AAAA0000000000</v>
      </c>
      <c r="T31" s="193" t="str">
        <f>TEXT(R31,"000,0")&amp;"-"&amp;S31</f>
        <v>070,0-00000A0AAAA0000000000</v>
      </c>
      <c r="U31" s="193">
        <f>COUNTIF(T$7:T$126,"&gt;="&amp;T31)</f>
        <v>25</v>
      </c>
      <c r="V31" s="193">
        <f>COUNTIF(L$7:L$126,"&gt;="&amp;L31)</f>
        <v>5</v>
      </c>
      <c r="W31" s="193" t="str">
        <f>TEXT(R31,"000,0")&amp;"-"&amp;S31&amp;"-"&amp;TEXT(V31,"000")</f>
        <v>070,0-00000A0AAAA0000000000-005</v>
      </c>
      <c r="X31" s="193">
        <f>COUNTIF(W$7:W$126,"&gt;="&amp;W31)</f>
        <v>25</v>
      </c>
      <c r="Y31" s="201">
        <f>RANK(X31,X$7:X$126,0)</f>
        <v>96</v>
      </c>
      <c r="Z31" s="202" t="str">
        <f>IFERROR(INDEX('V1'!C$300:C$400,MATCH("*"&amp;L31&amp;"*",'V1'!B$300:B$400,0)),"  ")</f>
        <v>  </v>
      </c>
      <c r="AA31" s="202" t="str">
        <f>IFERROR(INDEX('V2'!C$300:C$400,MATCH("*"&amp;L31&amp;"*",'V2'!B$300:B$400,0)),"  ")</f>
        <v>  </v>
      </c>
      <c r="AB31" s="202">
        <f>IFERROR(INDEX('V3'!C$300:C$400,MATCH("*"&amp;L31&amp;"*",'V3'!B$300:B$400,0)),"  ")</f>
        <v>16</v>
      </c>
      <c r="AC31" s="202" t="str">
        <f>IFERROR(INDEX('V4'!C$300:C$400,MATCH("*"&amp;L31&amp;"*",'V4'!B$300:B$400,0)),"  ")</f>
        <v>  </v>
      </c>
      <c r="AD31" s="202">
        <f>IFERROR(INDEX('V5'!C$300:C$400,MATCH("*"&amp;L31&amp;"*",'V5'!B$300:B$400,0)),"  ")</f>
        <v>24</v>
      </c>
      <c r="AE31" s="202">
        <f>IFERROR(INDEX('V6'!C$300:C$400,MATCH("*"&amp;L31&amp;"*",'V6'!B$300:B$400,0)),"  ")</f>
        <v>10</v>
      </c>
      <c r="AF31" s="202">
        <f>IFERROR(INDEX('V7'!C$300:C$400,MATCH("*"&amp;L31&amp;"*",'V7'!B$300:B$400,0)),"  ")</f>
        <v>8</v>
      </c>
      <c r="AG31" s="202">
        <f>IFERROR(INDEX('V8'!C$300:C$400,MATCH("*"&amp;L31&amp;"*",'V8'!B$300:B$400,0)),"  ")</f>
        <v>12</v>
      </c>
      <c r="AH31" s="202"/>
      <c r="AI31" s="202"/>
      <c r="AJ31" s="222">
        <f>IF(AN31&gt;(AT$2-1),K31,"")</f>
        <v>24</v>
      </c>
      <c r="AK31" s="223">
        <f>SUM(Z31:AI31)</f>
        <v>70</v>
      </c>
      <c r="AL31" s="224" t="str">
        <f>IFERROR("edasi "&amp;RANK(AJ31,AJ$7:AJ$126,1),K31)</f>
        <v>edasi 24</v>
      </c>
      <c r="AM31" s="225" t="str">
        <f>IFERROR(INDEX(#REF!,MATCH("*"&amp;L31&amp;"*",#REF!,0)),"  ")</f>
        <v>  </v>
      </c>
      <c r="AN31" s="226">
        <f>COUNTIF(Z31:AI31,"&gt;=0")</f>
        <v>5</v>
      </c>
      <c r="AO31" s="126">
        <f>IFERROR(IF(Z31+1&gt;LARGE(Z$7:Z$126,1)-2*LEN(Z$5),1),0)+IFERROR(IF(AA31+1&gt;LARGE(AA$7:AA$126,1)-2*LEN(AA$5),1),0)+IFERROR(IF(AB31+1&gt;LARGE(AB$7:AB$126,1)-2*LEN(AB$5),1),0)+IFERROR(IF(AC31+1&gt;LARGE(AC$7:AC$126,1)-2*LEN(AC$5),1),0)+IFERROR(IF(AD31+1&gt;LARGE(AD$7:AD$126,1)-2*LEN(AD$5),1),0)+IFERROR(IF(AE31+1&gt;LARGE(AE$7:AE$126,1)-2*LEN(AE$5),1),0)+IFERROR(IF(AF31+1&gt;LARGE(AF$7:AF$126,1)-2*LEN(AF$5),1),0)+IFERROR(IF(AG31+1&gt;LARGE(AG$7:AG$126,1)-2*LEN(AG$5),1),0)+IFERROR(IF(AH31+1&gt;LARGE(AH$7:AH$126,1)-2*LEN(AH$5),1),0)+IFERROR(IF(AI31+1&gt;LARGE(AI$7:AI$126,1)-2*LEN(AI$5),1),0)</f>
        <v>0</v>
      </c>
      <c r="AP31" s="126">
        <f>IF(Z31=0,0,IF(Z31=IFERROR(LARGE(Z$7:Z$126,1),0),1,0))+IF(AA31=0,0,IF(AA31=IFERROR(LARGE(AA$7:AA$126,1),0),1,0))+IF(AB31=0,0,IF(AB31=IFERROR(LARGE(AB$7:AB$126,1),0),1,0))+IF(AC31=0,0,IF(AC31=IFERROR(LARGE(AC$7:AC$126,1),0),1,0))+IF(AD31=0,0,IF(AD31=IFERROR(LARGE(AD$7:AD$126,1),0),1,0))+IF(AE31=0,0,IF(AE31=IFERROR(LARGE(AE$7:AE$126,1),0),1,0))+IF(AF31=0,0,IF(AF31=IFERROR(LARGE(AF$7:AF$126,1),0),1,0))+IF(AG31=0,0,IF(AG31=IFERROR(LARGE(AG$7:AG$126,1),0),1,0))+IF(AH31=0,0,IF(AH31=IFERROR(LARGE(AH$7:AH$126,1),0),1,0))+IF(AI31=0,0,IF(AI31=IFERROR(LARGE(AI$7:AI$126,1),0),1,0))</f>
        <v>0</v>
      </c>
      <c r="AQ31" s="233"/>
      <c r="AR31" s="233"/>
      <c r="AS31" s="233"/>
      <c r="AT31" s="234">
        <f>SMALL(AU31:BD31,AT$3)</f>
        <v>0.0001</v>
      </c>
      <c r="AU31" s="235">
        <f>IF(Z31="  ",0+MID(Z$6,FIND("V",Z$6)+1,256)/10000,Z31+MID(Z$6,FIND("V",Z$6)+1,256)/10000)</f>
        <v>0.0001</v>
      </c>
      <c r="AV31" s="235">
        <f>IF(AA31="  ",0+MID(AA$6,FIND("V",AA$6)+1,256)/10000,AA31+MID(AA$6,FIND("V",AA$6)+1,256)/10000)</f>
        <v>0.0002</v>
      </c>
      <c r="AW31" s="235">
        <f>IF(AB31="  ",0+MID(AB$6,FIND("V",AB$6)+1,256)/10000,AB31+MID(AB$6,FIND("V",AB$6)+1,256)/10000)</f>
        <v>16.0003</v>
      </c>
      <c r="AX31" s="235">
        <f>IF(AC31="  ",0+MID(AC$6,FIND("V",AC$6)+1,256)/10000,AC31+MID(AC$6,FIND("V",AC$6)+1,256)/10000)</f>
        <v>0.0004</v>
      </c>
      <c r="AY31" s="235">
        <f>IF(AD31="  ",0+MID(AD$6,FIND("V",AD$6)+1,256)/10000,AD31+MID(AD$6,FIND("V",AD$6)+1,256)/10000)</f>
        <v>24.0005</v>
      </c>
      <c r="AZ31" s="235">
        <f>IF(AE31="  ",0+MID(AE$6,FIND("V",AE$6)+1,256)/10000,AE31+MID(AE$6,FIND("V",AE$6)+1,256)/10000)</f>
        <v>10.0006</v>
      </c>
      <c r="BA31" s="235">
        <f>IF(AF31="  ",0+MID(AF$6,FIND("V",AF$6)+1,256)/10000,AF31+MID(AF$6,FIND("V",AF$6)+1,256)/10000)</f>
        <v>8.0007</v>
      </c>
      <c r="BB31" s="235">
        <f>IF(AG31="  ",0+MID(AG$6,FIND("V",AG$6)+1,256)/10000,AG31+MID(AG$6,FIND("V",AG$6)+1,256)/10000)</f>
        <v>12.0008</v>
      </c>
      <c r="BC31" s="235">
        <f>IF(AH31="  ",0+MID(AH$6,FIND("V",AH$6)+1,256)/10000,AH31+MID(AH$6,FIND("V",AH$6)+1,256)/10000)</f>
        <v>0.0009</v>
      </c>
      <c r="BD31" s="235">
        <f>IF(AI31="  ",0+MID(AI$6,FIND("V",AI$6)+1,256)/10000,AI31+MID(AI$6,FIND("V",AI$6)+1,256)/10000)</f>
        <v>0.001</v>
      </c>
      <c r="BE31" s="233"/>
      <c r="BF31" s="233"/>
      <c r="BG31" s="233"/>
      <c r="BH31" s="233"/>
      <c r="BI31" s="3" t="e">
        <f>(LARGE(Z$7:Z$126,1)-Z31)/2+1</f>
        <v>#VALUE!</v>
      </c>
      <c r="BJ31" s="3" t="e">
        <f>(LARGE(AA$7:AA$126,1)-AA31)/2+1</f>
        <v>#VALUE!</v>
      </c>
      <c r="BK31" s="3">
        <f>(LARGE(AB$7:AB$126,1)-AB31)/2+1</f>
        <v>6</v>
      </c>
      <c r="BL31" s="3" t="e">
        <f>(LARGE(AC$7:AC$126,1)-AC31)/2+1</f>
        <v>#VALUE!</v>
      </c>
      <c r="BM31" s="3">
        <f>(LARGE(AD$7:AD$126,1)-AD31)/2+1</f>
        <v>9</v>
      </c>
      <c r="BN31" s="3">
        <f>(LARGE(AE$7:AE$126,1)-AE31)/2+1</f>
        <v>10</v>
      </c>
      <c r="BO31" s="3">
        <f>(LARGE(AF$7:AF$126,1)-AF31)/2+1</f>
        <v>11</v>
      </c>
      <c r="BP31" s="3">
        <f>(LARGE(AG$7:AG$126,1)-AG31)/2+1</f>
        <v>8</v>
      </c>
      <c r="BQ31" s="3" t="e">
        <f>(LARGE(AH$7:AH$126,1)-AH31)/2+1</f>
        <v>#NUM!</v>
      </c>
      <c r="BR31" s="3" t="e">
        <f>(LARGE(AI$7:AI$126,1)-AI31)/2+1</f>
        <v>#NUM!</v>
      </c>
    </row>
    <row r="32" spans="1:70">
      <c r="A32" s="139">
        <f>IF(R32&gt;0,IF(Q32="Viru SK",RANK(B32,B$7:B$126,1)-COUNTIF((Q$7:Q$126),"&lt;&gt;Viru SK"),""),"")</f>
        <v>20</v>
      </c>
      <c r="B32" s="140">
        <f>IF((Q32="Viru SK"),U32,U32-1000)</f>
        <v>26</v>
      </c>
      <c r="C32" s="141">
        <f>IF(R32&gt;0,IF(P32="t",RANK(D32,D$7:D$126,1)-COUNTBLANK(P$7:P$126),""),"")</f>
        <v>12</v>
      </c>
      <c r="D32" s="142">
        <f>IF((P32="t"),U32,U32-1000)</f>
        <v>26</v>
      </c>
      <c r="E32" s="143">
        <f>IF(R32&gt;0,IF(N32="m",RANK(F32,F$7:F$126,1)-COUNTBLANK(N$7:N$126),""),"")</f>
        <v>21</v>
      </c>
      <c r="F32" s="144">
        <f>IF((N32="m"),U32,U32-1000)</f>
        <v>26</v>
      </c>
      <c r="G32" s="145" t="str">
        <f>IF(R32&gt;0,IF(M32="n",RANK(H32,H$7:H$126,1)-COUNTBLANK(M$7:M$126),""),"")</f>
        <v/>
      </c>
      <c r="H32" s="144">
        <f>IF((M32="n"),U32,U32-1000)</f>
        <v>-974</v>
      </c>
      <c r="I32" s="160" t="str">
        <f>IF(R32&gt;0,IF(O32="j",RANK(J32,J$7:J$126,1)-COUNTBLANK(O$7:O$126),""),"")</f>
        <v/>
      </c>
      <c r="J32" s="161">
        <f>IF((O32="j"),U32,U32-1000)</f>
        <v>-974</v>
      </c>
      <c r="K32" s="162">
        <f>IF(R32&gt;0,RANK(U32,U$7:U$126,1),"")</f>
        <v>26</v>
      </c>
      <c r="L32" s="174" t="s">
        <v>15</v>
      </c>
      <c r="M32" s="164"/>
      <c r="N32" s="165" t="str">
        <f>IF(M32="","m","")</f>
        <v>m</v>
      </c>
      <c r="O32" s="166"/>
      <c r="P32" s="167" t="s">
        <v>196</v>
      </c>
      <c r="Q32" s="192" t="s">
        <v>171</v>
      </c>
      <c r="R32" s="154">
        <f>(IF(COUNT(Z32,AA32,AB32,AC32,AD32,AE32,AF32,AG32,AH32,AI32)&lt;10,SUM(Z32,AA32,AB32,AC32,AD32,AE32,AF32,AG32,AH32,AI32),SUM(LARGE((Z32,AA32,AB32,AC32,AD32,AE32,AF32,AG32,AH32,AI32),{1;2;3;4;5;6;7;8;9}))))</f>
        <v>62</v>
      </c>
      <c r="S32" s="193" t="str">
        <f>INDEX(ETAPP!B$1:B$32,MATCH(COUNTIF(BI32:BR32,1),ETAPP!A$1:A$32,0))&amp;INDEX(ETAPP!B$1:B$32,MATCH(COUNTIF(BI32:BR32,2),ETAPP!A$1:A$32,0))&amp;INDEX(ETAPP!B$1:B$32,MATCH(COUNTIF(BI32:BR32,3),ETAPP!A$1:A$32,0))&amp;INDEX(ETAPP!B$1:B$32,MATCH(COUNTIF(BI32:BR32,4),ETAPP!A$1:A$32,0))&amp;INDEX(ETAPP!B$1:B$32,MATCH(COUNTIF(BI32:BR32,5),ETAPP!A$1:A$32,0))&amp;INDEX(ETAPP!B$1:B$32,MATCH(COUNTIF(BI32:BR32,6),ETAPP!A$1:A$32,0))&amp;INDEX(ETAPP!B$1:B$32,MATCH(COUNTIF(BI32:BR32,7),ETAPP!A$1:A$32,0))&amp;INDEX(ETAPP!B$1:B$32,MATCH(COUNTIF(BI32:BR32,8),ETAPP!A$1:A$32,0))&amp;INDEX(ETAPP!B$1:B$32,MATCH(COUNTIF(BI32:BR32,9),ETAPP!A$1:A$32,0))&amp;INDEX(ETAPP!B$1:B$32,MATCH(COUNTIF(BI32:BR32,10),ETAPP!A$1:A$32,0))&amp;INDEX(ETAPP!B$1:B$32,MATCH(COUNTIF(BI32:BR32,11),ETAPP!A$1:A$32,0))&amp;INDEX(ETAPP!B$1:B$32,MATCH(COUNTIF(BI32:BR32,12),ETAPP!A$1:A$32,0))&amp;INDEX(ETAPP!B$1:B$32,MATCH(COUNTIF(BI32:BR32,13),ETAPP!A$1:A$32,0))&amp;INDEX(ETAPP!B$1:B$32,MATCH(COUNTIF(BI32:BR32,14),ETAPP!A$1:A$32,0))&amp;INDEX(ETAPP!B$1:B$32,MATCH(COUNTIF(BI32:BR32,15),ETAPP!A$1:A$32,0))&amp;INDEX(ETAPP!B$1:B$32,MATCH(COUNTIF(BI32:BR32,16),ETAPP!A$1:A$32,0))&amp;INDEX(ETAPP!B$1:B$32,MATCH(COUNTIF(BI32:BR32,17),ETAPP!A$1:A$32,0))&amp;INDEX(ETAPP!B$1:B$32,MATCH(COUNTIF(BI32:BR32,18),ETAPP!A$1:A$32,0))&amp;INDEX(ETAPP!B$1:B$32,MATCH(COUNTIF(BI32:BR32,19),ETAPP!A$1:A$32,0))&amp;INDEX(ETAPP!B$1:B$32,MATCH(COUNTIF(BI32:BR32,20),ETAPP!A$1:A$32,0))&amp;INDEX(ETAPP!B$1:B$32,MATCH(COUNTIF(BI32:BR32,21),ETAPP!A$1:A$32,0))</f>
        <v>0000AA000BA0AA0000A00</v>
      </c>
      <c r="T32" s="193" t="str">
        <f>TEXT(R32,"000,0")&amp;"-"&amp;S32</f>
        <v>062,0-0000AA000BA0AA0000A00</v>
      </c>
      <c r="U32" s="193">
        <f>COUNTIF(T$7:T$126,"&gt;="&amp;T32)</f>
        <v>26</v>
      </c>
      <c r="V32" s="193">
        <f>COUNTIF(L$7:L$126,"&gt;="&amp;L32)</f>
        <v>78</v>
      </c>
      <c r="W32" s="193" t="str">
        <f>TEXT(R32,"000,0")&amp;"-"&amp;S32&amp;"-"&amp;TEXT(V32,"000")</f>
        <v>062,0-0000AA000BA0AA0000A00-078</v>
      </c>
      <c r="X32" s="193">
        <f>COUNTIF(W$7:W$126,"&gt;="&amp;W32)</f>
        <v>26</v>
      </c>
      <c r="Y32" s="201">
        <f>RANK(X32,X$7:X$126,0)</f>
        <v>95</v>
      </c>
      <c r="Z32" s="202">
        <f>IFERROR(INDEX('V1'!C$300:C$400,MATCH("*"&amp;L32&amp;"*",'V1'!B$300:B$400,0)),"  ")</f>
        <v>10</v>
      </c>
      <c r="AA32" s="202">
        <f>IFERROR(INDEX('V2'!C$300:C$400,MATCH("*"&amp;L32&amp;"*",'V2'!B$300:B$400,0)),"  ")</f>
        <v>18</v>
      </c>
      <c r="AB32" s="202">
        <f>IFERROR(INDEX('V3'!C$300:C$400,MATCH("*"&amp;L32&amp;"*",'V3'!B$300:B$400,0)),"  ")</f>
        <v>8</v>
      </c>
      <c r="AC32" s="202">
        <f>IFERROR(INDEX('V4'!C$300:C$400,MATCH("*"&amp;L32&amp;"*",'V4'!B$300:B$400,0)),"  ")</f>
        <v>8</v>
      </c>
      <c r="AD32" s="202">
        <f>IFERROR(INDEX('V5'!C$300:C$400,MATCH("*"&amp;L32&amp;"*",'V5'!B$300:B$400,0)),"  ")</f>
        <v>4</v>
      </c>
      <c r="AE32" s="202">
        <f>IFERROR(INDEX('V6'!C$300:C$400,MATCH("*"&amp;L32&amp;"*",'V6'!B$300:B$400,0)),"  ")</f>
        <v>4</v>
      </c>
      <c r="AF32" s="202">
        <f>IFERROR(INDEX('V7'!C$300:C$400,MATCH("*"&amp;L32&amp;"*",'V7'!B$300:B$400,0)),"  ")</f>
        <v>2</v>
      </c>
      <c r="AG32" s="202">
        <f>IFERROR(INDEX('V8'!C$300:C$400,MATCH("*"&amp;L32&amp;"*",'V8'!B$300:B$400,0)),"  ")</f>
        <v>8</v>
      </c>
      <c r="AH32" s="202"/>
      <c r="AI32" s="202"/>
      <c r="AJ32" s="222">
        <f>IF(AN32&gt;(AT$2-1),K32,"")</f>
        <v>26</v>
      </c>
      <c r="AK32" s="223">
        <f>SUM(Z32:AI32)</f>
        <v>62</v>
      </c>
      <c r="AL32" s="224" t="str">
        <f>IFERROR("edasi "&amp;RANK(AJ32,AJ$7:AJ$126,1),K32)</f>
        <v>edasi 26</v>
      </c>
      <c r="AM32" s="225" t="str">
        <f>IFERROR(INDEX(#REF!,MATCH("*"&amp;L32&amp;"*",#REF!,0)),"  ")</f>
        <v>  </v>
      </c>
      <c r="AN32" s="226">
        <f>COUNTIF(Z32:AI32,"&gt;=0")</f>
        <v>8</v>
      </c>
      <c r="AO32" s="126">
        <f>IFERROR(IF(Z32+1&gt;LARGE(Z$7:Z$126,1)-2*LEN(Z$5),1),0)+IFERROR(IF(AA32+1&gt;LARGE(AA$7:AA$126,1)-2*LEN(AA$5),1),0)+IFERROR(IF(AB32+1&gt;LARGE(AB$7:AB$126,1)-2*LEN(AB$5),1),0)+IFERROR(IF(AC32+1&gt;LARGE(AC$7:AC$126,1)-2*LEN(AC$5),1),0)+IFERROR(IF(AD32+1&gt;LARGE(AD$7:AD$126,1)-2*LEN(AD$5),1),0)+IFERROR(IF(AE32+1&gt;LARGE(AE$7:AE$126,1)-2*LEN(AE$5),1),0)+IFERROR(IF(AF32+1&gt;LARGE(AF$7:AF$126,1)-2*LEN(AF$5),1),0)+IFERROR(IF(AG32+1&gt;LARGE(AG$7:AG$126,1)-2*LEN(AG$5),1),0)+IFERROR(IF(AH32+1&gt;LARGE(AH$7:AH$126,1)-2*LEN(AH$5),1),0)+IFERROR(IF(AI32+1&gt;LARGE(AI$7:AI$126,1)-2*LEN(AI$5),1),0)</f>
        <v>0</v>
      </c>
      <c r="AP32" s="126">
        <f>IF(Z32=0,0,IF(Z32=IFERROR(LARGE(Z$7:Z$126,1),0),1,0))+IF(AA32=0,0,IF(AA32=IFERROR(LARGE(AA$7:AA$126,1),0),1,0))+IF(AB32=0,0,IF(AB32=IFERROR(LARGE(AB$7:AB$126,1),0),1,0))+IF(AC32=0,0,IF(AC32=IFERROR(LARGE(AC$7:AC$126,1),0),1,0))+IF(AD32=0,0,IF(AD32=IFERROR(LARGE(AD$7:AD$126,1),0),1,0))+IF(AE32=0,0,IF(AE32=IFERROR(LARGE(AE$7:AE$126,1),0),1,0))+IF(AF32=0,0,IF(AF32=IFERROR(LARGE(AF$7:AF$126,1),0),1,0))+IF(AG32=0,0,IF(AG32=IFERROR(LARGE(AG$7:AG$126,1),0),1,0))+IF(AH32=0,0,IF(AH32=IFERROR(LARGE(AH$7:AH$126,1),0),1,0))+IF(AI32=0,0,IF(AI32=IFERROR(LARGE(AI$7:AI$126,1),0),1,0))</f>
        <v>0</v>
      </c>
      <c r="AQ32" s="233"/>
      <c r="AR32" s="233"/>
      <c r="AS32" s="233"/>
      <c r="AT32" s="234">
        <f>SMALL(AU32:BD32,AT$3)</f>
        <v>0.0009</v>
      </c>
      <c r="AU32" s="235">
        <f>IF(Z32="  ",0+MID(Z$6,FIND("V",Z$6)+1,256)/10000,Z32+MID(Z$6,FIND("V",Z$6)+1,256)/10000)</f>
        <v>10.0001</v>
      </c>
      <c r="AV32" s="235">
        <f>IF(AA32="  ",0+MID(AA$6,FIND("V",AA$6)+1,256)/10000,AA32+MID(AA$6,FIND("V",AA$6)+1,256)/10000)</f>
        <v>18.0002</v>
      </c>
      <c r="AW32" s="235">
        <f>IF(AB32="  ",0+MID(AB$6,FIND("V",AB$6)+1,256)/10000,AB32+MID(AB$6,FIND("V",AB$6)+1,256)/10000)</f>
        <v>8.0003</v>
      </c>
      <c r="AX32" s="235">
        <f>IF(AC32="  ",0+MID(AC$6,FIND("V",AC$6)+1,256)/10000,AC32+MID(AC$6,FIND("V",AC$6)+1,256)/10000)</f>
        <v>8.0004</v>
      </c>
      <c r="AY32" s="235">
        <f>IF(AD32="  ",0+MID(AD$6,FIND("V",AD$6)+1,256)/10000,AD32+MID(AD$6,FIND("V",AD$6)+1,256)/10000)</f>
        <v>4.0005</v>
      </c>
      <c r="AZ32" s="235">
        <f>IF(AE32="  ",0+MID(AE$6,FIND("V",AE$6)+1,256)/10000,AE32+MID(AE$6,FIND("V",AE$6)+1,256)/10000)</f>
        <v>4.0006</v>
      </c>
      <c r="BA32" s="235">
        <f>IF(AF32="  ",0+MID(AF$6,FIND("V",AF$6)+1,256)/10000,AF32+MID(AF$6,FIND("V",AF$6)+1,256)/10000)</f>
        <v>2.0007</v>
      </c>
      <c r="BB32" s="235">
        <f>IF(AG32="  ",0+MID(AG$6,FIND("V",AG$6)+1,256)/10000,AG32+MID(AG$6,FIND("V",AG$6)+1,256)/10000)</f>
        <v>8.0008</v>
      </c>
      <c r="BC32" s="235">
        <f>IF(AH32="  ",0+MID(AH$6,FIND("V",AH$6)+1,256)/10000,AH32+MID(AH$6,FIND("V",AH$6)+1,256)/10000)</f>
        <v>0.0009</v>
      </c>
      <c r="BD32" s="235">
        <f>IF(AI32="  ",0+MID(AI$6,FIND("V",AI$6)+1,256)/10000,AI32+MID(AI$6,FIND("V",AI$6)+1,256)/10000)</f>
        <v>0.001</v>
      </c>
      <c r="BE32" s="233"/>
      <c r="BF32" s="233"/>
      <c r="BG32" s="233"/>
      <c r="BH32" s="233"/>
      <c r="BI32" s="3">
        <f>(LARGE(Z$7:Z$126,1)-Z32)/2+1</f>
        <v>5</v>
      </c>
      <c r="BJ32" s="3">
        <f>(LARGE(AA$7:AA$126,1)-AA32)/2+1</f>
        <v>6</v>
      </c>
      <c r="BK32" s="3">
        <f>(LARGE(AB$7:AB$126,1)-AB32)/2+1</f>
        <v>10</v>
      </c>
      <c r="BL32" s="3">
        <f>(LARGE(AC$7:AC$126,1)-AC32)/2+1</f>
        <v>11</v>
      </c>
      <c r="BM32" s="3">
        <f>(LARGE(AD$7:AD$126,1)-AD32)/2+1</f>
        <v>19</v>
      </c>
      <c r="BN32" s="3">
        <f>(LARGE(AE$7:AE$126,1)-AE32)/2+1</f>
        <v>13</v>
      </c>
      <c r="BO32" s="3">
        <f>(LARGE(AF$7:AF$126,1)-AF32)/2+1</f>
        <v>14</v>
      </c>
      <c r="BP32" s="3">
        <f>(LARGE(AG$7:AG$126,1)-AG32)/2+1</f>
        <v>10</v>
      </c>
      <c r="BQ32" s="3" t="e">
        <f>(LARGE(AH$7:AH$126,1)-AH32)/2+1</f>
        <v>#NUM!</v>
      </c>
      <c r="BR32" s="3" t="e">
        <f>(LARGE(AI$7:AI$126,1)-AI32)/2+1</f>
        <v>#NUM!</v>
      </c>
    </row>
    <row r="33" spans="1:70">
      <c r="A33" s="139">
        <f>IF(R33&gt;0,IF(Q33="Viru SK",RANK(B33,B$7:B$126,1)-COUNTIF((Q$7:Q$126),"&lt;&gt;Viru SK"),""),"")</f>
        <v>21</v>
      </c>
      <c r="B33" s="140">
        <f>IF((Q33="Viru SK"),U33,U33-1000)</f>
        <v>27</v>
      </c>
      <c r="C33" s="141">
        <f>IF(R33&gt;0,IF(P33="t",RANK(D33,D$7:D$126,1)-COUNTBLANK(P$7:P$126),""),"")</f>
        <v>13</v>
      </c>
      <c r="D33" s="142">
        <f>IF((P33="t"),U33,U33-1000)</f>
        <v>27</v>
      </c>
      <c r="E33" s="143">
        <f>IF(R33&gt;0,IF(N33="m",RANK(F33,F$7:F$126,1)-COUNTBLANK(N$7:N$126),""),"")</f>
        <v>22</v>
      </c>
      <c r="F33" s="144">
        <f>IF((N33="m"),U33,U33-1000)</f>
        <v>27</v>
      </c>
      <c r="G33" s="145" t="str">
        <f>IF(R33&gt;0,IF(M33="n",RANK(H33,H$7:H$126,1)-COUNTBLANK(M$7:M$126),""),"")</f>
        <v/>
      </c>
      <c r="H33" s="144">
        <f>IF((M33="n"),U33,U33-1000)</f>
        <v>-973</v>
      </c>
      <c r="I33" s="160" t="str">
        <f>IF(R33&gt;0,IF(O33="j",RANK(J33,J$7:J$126,1)-COUNTBLANK(O$7:O$126),""),"")</f>
        <v/>
      </c>
      <c r="J33" s="161">
        <f>IF((O33="j"),U33,U33-1000)</f>
        <v>-973</v>
      </c>
      <c r="K33" s="162">
        <f>IF(R33&gt;0,RANK(U33,U$7:U$126,1),"")</f>
        <v>27</v>
      </c>
      <c r="L33" s="163" t="s">
        <v>223</v>
      </c>
      <c r="M33" s="164"/>
      <c r="N33" s="165" t="s">
        <v>193</v>
      </c>
      <c r="O33" s="166"/>
      <c r="P33" s="167" t="s">
        <v>196</v>
      </c>
      <c r="Q33" s="192" t="s">
        <v>171</v>
      </c>
      <c r="R33" s="154">
        <f>(IF(COUNT(Z33,AA33,AB33,AC33,AD33,AE33,AF33,AG33,AH33,AI33)&lt;10,SUM(Z33,AA33,AB33,AC33,AD33,AE33,AF33,AG33,AH33,AI33),SUM(LARGE((Z33,AA33,AB33,AC33,AD33,AE33,AF33,AG33,AH33,AI33),{1;2;3;4;5;6;7;8;9}))))</f>
        <v>60</v>
      </c>
      <c r="S33" s="193" t="str">
        <f>INDEX(ETAPP!B$1:B$32,MATCH(COUNTIF(BI33:BR33,1),ETAPP!A$1:A$32,0))&amp;INDEX(ETAPP!B$1:B$32,MATCH(COUNTIF(BI33:BR33,2),ETAPP!A$1:A$32,0))&amp;INDEX(ETAPP!B$1:B$32,MATCH(COUNTIF(BI33:BR33,3),ETAPP!A$1:A$32,0))&amp;INDEX(ETAPP!B$1:B$32,MATCH(COUNTIF(BI33:BR33,4),ETAPP!A$1:A$32,0))&amp;INDEX(ETAPP!B$1:B$32,MATCH(COUNTIF(BI33:BR33,5),ETAPP!A$1:A$32,0))&amp;INDEX(ETAPP!B$1:B$32,MATCH(COUNTIF(BI33:BR33,6),ETAPP!A$1:A$32,0))&amp;INDEX(ETAPP!B$1:B$32,MATCH(COUNTIF(BI33:BR33,7),ETAPP!A$1:A$32,0))&amp;INDEX(ETAPP!B$1:B$32,MATCH(COUNTIF(BI33:BR33,8),ETAPP!A$1:A$32,0))&amp;INDEX(ETAPP!B$1:B$32,MATCH(COUNTIF(BI33:BR33,9),ETAPP!A$1:A$32,0))&amp;INDEX(ETAPP!B$1:B$32,MATCH(COUNTIF(BI33:BR33,10),ETAPP!A$1:A$32,0))&amp;INDEX(ETAPP!B$1:B$32,MATCH(COUNTIF(BI33:BR33,11),ETAPP!A$1:A$32,0))&amp;INDEX(ETAPP!B$1:B$32,MATCH(COUNTIF(BI33:BR33,12),ETAPP!A$1:A$32,0))&amp;INDEX(ETAPP!B$1:B$32,MATCH(COUNTIF(BI33:BR33,13),ETAPP!A$1:A$32,0))&amp;INDEX(ETAPP!B$1:B$32,MATCH(COUNTIF(BI33:BR33,14),ETAPP!A$1:A$32,0))&amp;INDEX(ETAPP!B$1:B$32,MATCH(COUNTIF(BI33:BR33,15),ETAPP!A$1:A$32,0))&amp;INDEX(ETAPP!B$1:B$32,MATCH(COUNTIF(BI33:BR33,16),ETAPP!A$1:A$32,0))&amp;INDEX(ETAPP!B$1:B$32,MATCH(COUNTIF(BI33:BR33,17),ETAPP!A$1:A$32,0))&amp;INDEX(ETAPP!B$1:B$32,MATCH(COUNTIF(BI33:BR33,18),ETAPP!A$1:A$32,0))&amp;INDEX(ETAPP!B$1:B$32,MATCH(COUNTIF(BI33:BR33,19),ETAPP!A$1:A$32,0))&amp;INDEX(ETAPP!B$1:B$32,MATCH(COUNTIF(BI33:BR33,20),ETAPP!A$1:A$32,0))&amp;INDEX(ETAPP!B$1:B$32,MATCH(COUNTIF(BI33:BR33,21),ETAPP!A$1:A$32,0))</f>
        <v>A000000A0B000000A0000</v>
      </c>
      <c r="T33" s="193" t="str">
        <f>TEXT(R33,"000,0")&amp;"-"&amp;S33</f>
        <v>060,0-A000000A0B000000A0000</v>
      </c>
      <c r="U33" s="193">
        <f>COUNTIF(T$7:T$126,"&gt;="&amp;T33)</f>
        <v>27</v>
      </c>
      <c r="V33" s="193">
        <f>COUNTIF(L$7:L$126,"&gt;="&amp;L33)</f>
        <v>72</v>
      </c>
      <c r="W33" s="193" t="str">
        <f>TEXT(R33,"000,0")&amp;"-"&amp;S33&amp;"-"&amp;TEXT(V33,"000")</f>
        <v>060,0-A000000A0B000000A0000-072</v>
      </c>
      <c r="X33" s="193">
        <f>COUNTIF(W$7:W$126,"&gt;="&amp;W33)</f>
        <v>27</v>
      </c>
      <c r="Y33" s="201">
        <f>RANK(X33,X$7:X$126,0)</f>
        <v>94</v>
      </c>
      <c r="Z33" s="202">
        <f>IFERROR(INDEX('V1'!C$300:C$400,MATCH("*"&amp;L33&amp;"*",'V1'!B$300:B$400,0)),"  ")</f>
        <v>18</v>
      </c>
      <c r="AA33" s="202">
        <f>IFERROR(INDEX('V2'!C$300:C$400,MATCH("*"&amp;L33&amp;"*",'V2'!B$300:B$400,0)),"  ")</f>
        <v>10</v>
      </c>
      <c r="AB33" s="202" t="str">
        <f>IFERROR(INDEX('V3'!C$300:C$400,MATCH("*"&amp;L33&amp;"*",'V3'!B$300:B$400,0)),"  ")</f>
        <v>  </v>
      </c>
      <c r="AC33" s="202">
        <f>IFERROR(INDEX('V4'!C$300:C$400,MATCH("*"&amp;L33&amp;"*",'V4'!B$300:B$400,0)),"  ")</f>
        <v>14</v>
      </c>
      <c r="AD33" s="202">
        <f>IFERROR(INDEX('V5'!C$300:C$400,MATCH("*"&amp;L33&amp;"*",'V5'!B$300:B$400,0)),"  ")</f>
        <v>8</v>
      </c>
      <c r="AE33" s="202" t="str">
        <f>IFERROR(INDEX('V6'!C$300:C$400,MATCH("*"&amp;L33&amp;"*",'V6'!B$300:B$400,0)),"  ")</f>
        <v>  </v>
      </c>
      <c r="AF33" s="202">
        <f>IFERROR(INDEX('V7'!C$300:C$400,MATCH("*"&amp;L33&amp;"*",'V7'!B$300:B$400,0)),"  ")</f>
        <v>10</v>
      </c>
      <c r="AG33" s="202" t="str">
        <f>IFERROR(INDEX('V8'!C$300:C$400,MATCH("*"&amp;L33&amp;"*",'V8'!B$300:B$400,0)),"  ")</f>
        <v>  </v>
      </c>
      <c r="AH33" s="202"/>
      <c r="AI33" s="202"/>
      <c r="AJ33" s="222">
        <f>IF(AN33&gt;(AT$2-1),K33,"")</f>
        <v>27</v>
      </c>
      <c r="AK33" s="223">
        <f>SUM(Z33:AI33)</f>
        <v>60</v>
      </c>
      <c r="AL33" s="224" t="str">
        <f>IFERROR("edasi "&amp;RANK(AJ33,AJ$7:AJ$126,1),K33)</f>
        <v>edasi 27</v>
      </c>
      <c r="AM33" s="225" t="str">
        <f>IFERROR(INDEX(#REF!,MATCH("*"&amp;L33&amp;"*",#REF!,0)),"  ")</f>
        <v>  </v>
      </c>
      <c r="AN33" s="226">
        <f>COUNTIF(Z33:AI33,"&gt;=0")</f>
        <v>5</v>
      </c>
      <c r="AO33" s="126">
        <f>IFERROR(IF(Z33+1&gt;LARGE(Z$7:Z$126,1)-2*LEN(Z$5),1),0)+IFERROR(IF(AA33+1&gt;LARGE(AA$7:AA$126,1)-2*LEN(AA$5),1),0)+IFERROR(IF(AB33+1&gt;LARGE(AB$7:AB$126,1)-2*LEN(AB$5),1),0)+IFERROR(IF(AC33+1&gt;LARGE(AC$7:AC$126,1)-2*LEN(AC$5),1),0)+IFERROR(IF(AD33+1&gt;LARGE(AD$7:AD$126,1)-2*LEN(AD$5),1),0)+IFERROR(IF(AE33+1&gt;LARGE(AE$7:AE$126,1)-2*LEN(AE$5),1),0)+IFERROR(IF(AF33+1&gt;LARGE(AF$7:AF$126,1)-2*LEN(AF$5),1),0)+IFERROR(IF(AG33+1&gt;LARGE(AG$7:AG$126,1)-2*LEN(AG$5),1),0)+IFERROR(IF(AH33+1&gt;LARGE(AH$7:AH$126,1)-2*LEN(AH$5),1),0)+IFERROR(IF(AI33+1&gt;LARGE(AI$7:AI$126,1)-2*LEN(AI$5),1),0)</f>
        <v>1</v>
      </c>
      <c r="AP33" s="126">
        <f>IF(Z33=0,0,IF(Z33=IFERROR(LARGE(Z$7:Z$126,1),0),1,0))+IF(AA33=0,0,IF(AA33=IFERROR(LARGE(AA$7:AA$126,1),0),1,0))+IF(AB33=0,0,IF(AB33=IFERROR(LARGE(AB$7:AB$126,1),0),1,0))+IF(AC33=0,0,IF(AC33=IFERROR(LARGE(AC$7:AC$126,1),0),1,0))+IF(AD33=0,0,IF(AD33=IFERROR(LARGE(AD$7:AD$126,1),0),1,0))+IF(AE33=0,0,IF(AE33=IFERROR(LARGE(AE$7:AE$126,1),0),1,0))+IF(AF33=0,0,IF(AF33=IFERROR(LARGE(AF$7:AF$126,1),0),1,0))+IF(AG33=0,0,IF(AG33=IFERROR(LARGE(AG$7:AG$126,1),0),1,0))+IF(AH33=0,0,IF(AH33=IFERROR(LARGE(AH$7:AH$126,1),0),1,0))+IF(AI33=0,0,IF(AI33=IFERROR(LARGE(AI$7:AI$126,1),0),1,0))</f>
        <v>1</v>
      </c>
      <c r="AQ33" s="233"/>
      <c r="AR33" s="233"/>
      <c r="AS33" s="233"/>
      <c r="AT33" s="234">
        <f>SMALL(AU33:BD33,AT$3)</f>
        <v>0.0003</v>
      </c>
      <c r="AU33" s="235">
        <f>IF(Z33="  ",0+MID(Z$6,FIND("V",Z$6)+1,256)/10000,Z33+MID(Z$6,FIND("V",Z$6)+1,256)/10000)</f>
        <v>18.0001</v>
      </c>
      <c r="AV33" s="235">
        <f>IF(AA33="  ",0+MID(AA$6,FIND("V",AA$6)+1,256)/10000,AA33+MID(AA$6,FIND("V",AA$6)+1,256)/10000)</f>
        <v>10.0002</v>
      </c>
      <c r="AW33" s="235">
        <f>IF(AB33="  ",0+MID(AB$6,FIND("V",AB$6)+1,256)/10000,AB33+MID(AB$6,FIND("V",AB$6)+1,256)/10000)</f>
        <v>0.0003</v>
      </c>
      <c r="AX33" s="235">
        <f>IF(AC33="  ",0+MID(AC$6,FIND("V",AC$6)+1,256)/10000,AC33+MID(AC$6,FIND("V",AC$6)+1,256)/10000)</f>
        <v>14.0004</v>
      </c>
      <c r="AY33" s="235">
        <f>IF(AD33="  ",0+MID(AD$6,FIND("V",AD$6)+1,256)/10000,AD33+MID(AD$6,FIND("V",AD$6)+1,256)/10000)</f>
        <v>8.0005</v>
      </c>
      <c r="AZ33" s="235">
        <f>IF(AE33="  ",0+MID(AE$6,FIND("V",AE$6)+1,256)/10000,AE33+MID(AE$6,FIND("V",AE$6)+1,256)/10000)</f>
        <v>0.0006</v>
      </c>
      <c r="BA33" s="235">
        <f>IF(AF33="  ",0+MID(AF$6,FIND("V",AF$6)+1,256)/10000,AF33+MID(AF$6,FIND("V",AF$6)+1,256)/10000)</f>
        <v>10.0007</v>
      </c>
      <c r="BB33" s="235">
        <f>IF(AG33="  ",0+MID(AG$6,FIND("V",AG$6)+1,256)/10000,AG33+MID(AG$6,FIND("V",AG$6)+1,256)/10000)</f>
        <v>0.0008</v>
      </c>
      <c r="BC33" s="235">
        <f>IF(AH33="  ",0+MID(AH$6,FIND("V",AH$6)+1,256)/10000,AH33+MID(AH$6,FIND("V",AH$6)+1,256)/10000)</f>
        <v>0.0009</v>
      </c>
      <c r="BD33" s="235">
        <f>IF(AI33="  ",0+MID(AI$6,FIND("V",AI$6)+1,256)/10000,AI33+MID(AI$6,FIND("V",AI$6)+1,256)/10000)</f>
        <v>0.001</v>
      </c>
      <c r="BE33" s="233"/>
      <c r="BF33" s="233"/>
      <c r="BG33" s="233"/>
      <c r="BH33" s="233"/>
      <c r="BI33" s="3">
        <f>(LARGE(Z$7:Z$126,1)-Z33)/2+1</f>
        <v>1</v>
      </c>
      <c r="BJ33" s="3">
        <f>(LARGE(AA$7:AA$126,1)-AA33)/2+1</f>
        <v>10</v>
      </c>
      <c r="BK33" s="3" t="e">
        <f>(LARGE(AB$7:AB$126,1)-AB33)/2+1</f>
        <v>#VALUE!</v>
      </c>
      <c r="BL33" s="3">
        <f>(LARGE(AC$7:AC$126,1)-AC33)/2+1</f>
        <v>8</v>
      </c>
      <c r="BM33" s="3">
        <f>(LARGE(AD$7:AD$126,1)-AD33)/2+1</f>
        <v>17</v>
      </c>
      <c r="BN33" s="3" t="e">
        <f>(LARGE(AE$7:AE$126,1)-AE33)/2+1</f>
        <v>#VALUE!</v>
      </c>
      <c r="BO33" s="3">
        <f>(LARGE(AF$7:AF$126,1)-AF33)/2+1</f>
        <v>10</v>
      </c>
      <c r="BP33" s="3" t="e">
        <f>(LARGE(AG$7:AG$126,1)-AG33)/2+1</f>
        <v>#VALUE!</v>
      </c>
      <c r="BQ33" s="3" t="e">
        <f>(LARGE(AH$7:AH$126,1)-AH33)/2+1</f>
        <v>#NUM!</v>
      </c>
      <c r="BR33" s="3" t="e">
        <f>(LARGE(AI$7:AI$126,1)-AI33)/2+1</f>
        <v>#NUM!</v>
      </c>
    </row>
    <row r="34" spans="1:70">
      <c r="A34" s="139" t="str">
        <f>IF(R34&gt;0,IF(Q34="Viru SK",RANK(B34,B$7:B$126,1)-COUNTIF((Q$7:Q$126),"&lt;&gt;Viru SK"),""),"")</f>
        <v/>
      </c>
      <c r="B34" s="140">
        <f>IF((Q34="Viru SK"),U34,U34-1000)</f>
        <v>-972</v>
      </c>
      <c r="C34" s="141">
        <f>IF(R34&gt;0,IF(P34="t",RANK(D34,D$7:D$126,1)-COUNTBLANK(P$7:P$126),""),"")</f>
        <v>14</v>
      </c>
      <c r="D34" s="142">
        <f>IF((P34="t"),U34,U34-1000)</f>
        <v>28</v>
      </c>
      <c r="E34" s="143">
        <f>IF(R34&gt;0,IF(N34="m",RANK(F34,F$7:F$126,1)-COUNTBLANK(N$7:N$126),""),"")</f>
        <v>23</v>
      </c>
      <c r="F34" s="144">
        <f>IF((N34="m"),U34,U34-1000)</f>
        <v>28</v>
      </c>
      <c r="G34" s="145" t="str">
        <f>IF(R34&gt;0,IF(M34="n",RANK(H34,H$7:H$126,1)-COUNTBLANK(M$7:M$126),""),"")</f>
        <v/>
      </c>
      <c r="H34" s="144">
        <f>IF((M34="n"),U34,U34-1000)</f>
        <v>-972</v>
      </c>
      <c r="I34" s="160" t="str">
        <f>IF(R34&gt;0,IF(O34="j",RANK(J34,J$7:J$126,1)-COUNTBLANK(O$7:O$126),""),"")</f>
        <v/>
      </c>
      <c r="J34" s="161">
        <f>IF((O34="j"),U34,U34-1000)</f>
        <v>-972</v>
      </c>
      <c r="K34" s="162">
        <f>IF(R34&gt;0,RANK(U34,U$7:U$126,1),"")</f>
        <v>28</v>
      </c>
      <c r="L34" s="174" t="s">
        <v>224</v>
      </c>
      <c r="M34" s="164"/>
      <c r="N34" s="165" t="s">
        <v>193</v>
      </c>
      <c r="O34" s="166"/>
      <c r="P34" s="167" t="s">
        <v>196</v>
      </c>
      <c r="Q34" s="192" t="s">
        <v>211</v>
      </c>
      <c r="R34" s="154">
        <f>(IF(COUNT(Z34,AA34,AB34,AC34,AD34,AE34,AF34,AG34,AH34,AI34)&lt;10,SUM(Z34,AA34,AB34,AC34,AD34,AE34,AF34,AG34,AH34,AI34),SUM(LARGE((Z34,AA34,AB34,AC34,AD34,AE34,AF34,AG34,AH34,AI34),{1;2;3;4;5;6;7;8;9}))))</f>
        <v>60</v>
      </c>
      <c r="S34" s="193" t="str">
        <f>INDEX(ETAPP!B$1:B$32,MATCH(COUNTIF(BI34:BR34,1),ETAPP!A$1:A$32,0))&amp;INDEX(ETAPP!B$1:B$32,MATCH(COUNTIF(BI34:BR34,2),ETAPP!A$1:A$32,0))&amp;INDEX(ETAPP!B$1:B$32,MATCH(COUNTIF(BI34:BR34,3),ETAPP!A$1:A$32,0))&amp;INDEX(ETAPP!B$1:B$32,MATCH(COUNTIF(BI34:BR34,4),ETAPP!A$1:A$32,0))&amp;INDEX(ETAPP!B$1:B$32,MATCH(COUNTIF(BI34:BR34,5),ETAPP!A$1:A$32,0))&amp;INDEX(ETAPP!B$1:B$32,MATCH(COUNTIF(BI34:BR34,6),ETAPP!A$1:A$32,0))&amp;INDEX(ETAPP!B$1:B$32,MATCH(COUNTIF(BI34:BR34,7),ETAPP!A$1:A$32,0))&amp;INDEX(ETAPP!B$1:B$32,MATCH(COUNTIF(BI34:BR34,8),ETAPP!A$1:A$32,0))&amp;INDEX(ETAPP!B$1:B$32,MATCH(COUNTIF(BI34:BR34,9),ETAPP!A$1:A$32,0))&amp;INDEX(ETAPP!B$1:B$32,MATCH(COUNTIF(BI34:BR34,10),ETAPP!A$1:A$32,0))&amp;INDEX(ETAPP!B$1:B$32,MATCH(COUNTIF(BI34:BR34,11),ETAPP!A$1:A$32,0))&amp;INDEX(ETAPP!B$1:B$32,MATCH(COUNTIF(BI34:BR34,12),ETAPP!A$1:A$32,0))&amp;INDEX(ETAPP!B$1:B$32,MATCH(COUNTIF(BI34:BR34,13),ETAPP!A$1:A$32,0))&amp;INDEX(ETAPP!B$1:B$32,MATCH(COUNTIF(BI34:BR34,14),ETAPP!A$1:A$32,0))&amp;INDEX(ETAPP!B$1:B$32,MATCH(COUNTIF(BI34:BR34,15),ETAPP!A$1:A$32,0))&amp;INDEX(ETAPP!B$1:B$32,MATCH(COUNTIF(BI34:BR34,16),ETAPP!A$1:A$32,0))&amp;INDEX(ETAPP!B$1:B$32,MATCH(COUNTIF(BI34:BR34,17),ETAPP!A$1:A$32,0))&amp;INDEX(ETAPP!B$1:B$32,MATCH(COUNTIF(BI34:BR34,18),ETAPP!A$1:A$32,0))&amp;INDEX(ETAPP!B$1:B$32,MATCH(COUNTIF(BI34:BR34,19),ETAPP!A$1:A$32,0))&amp;INDEX(ETAPP!B$1:B$32,MATCH(COUNTIF(BI34:BR34,20),ETAPP!A$1:A$32,0))&amp;INDEX(ETAPP!B$1:B$32,MATCH(COUNTIF(BI34:BR34,21),ETAPP!A$1:A$32,0))</f>
        <v>0000A0A0000AB00000000</v>
      </c>
      <c r="T34" s="193" t="str">
        <f>TEXT(R34,"000,0")&amp;"-"&amp;S34</f>
        <v>060,0-0000A0A0000AB00000000</v>
      </c>
      <c r="U34" s="193">
        <f>COUNTIF(T$7:T$126,"&gt;="&amp;T34)</f>
        <v>28</v>
      </c>
      <c r="V34" s="193">
        <f>COUNTIF(L$7:L$126,"&gt;="&amp;L34)</f>
        <v>53</v>
      </c>
      <c r="W34" s="193" t="str">
        <f>TEXT(R34,"000,0")&amp;"-"&amp;S34&amp;"-"&amp;TEXT(V34,"000")</f>
        <v>060,0-0000A0A0000AB00000000-053</v>
      </c>
      <c r="X34" s="193">
        <f>COUNTIF(W$7:W$126,"&gt;="&amp;W34)</f>
        <v>28</v>
      </c>
      <c r="Y34" s="201">
        <f>RANK(X34,X$7:X$126,0)</f>
        <v>93</v>
      </c>
      <c r="Z34" s="202" t="str">
        <f>IFERROR(INDEX('V1'!C$300:C$400,MATCH("*"&amp;L34&amp;"*",'V1'!B$300:B$400,0)),"  ")</f>
        <v>  </v>
      </c>
      <c r="AA34" s="202">
        <f>IFERROR(INDEX('V2'!C$300:C$400,MATCH("*"&amp;L34&amp;"*",'V2'!B$300:B$400,0)),"  ")</f>
        <v>4</v>
      </c>
      <c r="AB34" s="202">
        <f>IFERROR(INDEX('V3'!C$300:C$400,MATCH("*"&amp;L34&amp;"*",'V3'!B$300:B$400,0)),"  ")</f>
        <v>14</v>
      </c>
      <c r="AC34" s="202">
        <f>IFERROR(INDEX('V4'!C$300:C$400,MATCH("*"&amp;L34&amp;"*",'V4'!B$300:B$400,0)),"  ")</f>
        <v>20</v>
      </c>
      <c r="AD34" s="202">
        <f>IFERROR(INDEX('V5'!C$300:C$400,MATCH("*"&amp;L34&amp;"*",'V5'!B$300:B$400,0)),"  ")</f>
        <v>16</v>
      </c>
      <c r="AE34" s="202">
        <f>IFERROR(INDEX('V6'!C$300:C$400,MATCH("*"&amp;L34&amp;"*",'V6'!B$300:B$400,0)),"  ")</f>
        <v>6</v>
      </c>
      <c r="AF34" s="202" t="str">
        <f>IFERROR(INDEX('V7'!C$300:C$400,MATCH("*"&amp;L34&amp;"*",'V7'!B$300:B$400,0)),"  ")</f>
        <v>  </v>
      </c>
      <c r="AG34" s="202" t="str">
        <f>IFERROR(INDEX('V8'!C$300:C$400,MATCH("*"&amp;L34&amp;"*",'V8'!B$300:B$400,0)),"  ")</f>
        <v>  </v>
      </c>
      <c r="AH34" s="202"/>
      <c r="AI34" s="202"/>
      <c r="AJ34" s="222">
        <f>IF(AN34&gt;(AT$2-1),K34,"")</f>
        <v>28</v>
      </c>
      <c r="AK34" s="223">
        <f>SUM(Z34:AI34)</f>
        <v>60</v>
      </c>
      <c r="AL34" s="224" t="str">
        <f>IFERROR("edasi "&amp;RANK(AJ34,AJ$7:AJ$126,1),K34)</f>
        <v>edasi 28</v>
      </c>
      <c r="AM34" s="225" t="str">
        <f>IFERROR(INDEX(#REF!,MATCH("*"&amp;L34&amp;"*",#REF!,0)),"  ")</f>
        <v>  </v>
      </c>
      <c r="AN34" s="226">
        <f>COUNTIF(Z34:AI34,"&gt;=0")</f>
        <v>5</v>
      </c>
      <c r="AO34" s="126">
        <f>IFERROR(IF(Z34+1&gt;LARGE(Z$7:Z$126,1)-2*LEN(Z$5),1),0)+IFERROR(IF(AA34+1&gt;LARGE(AA$7:AA$126,1)-2*LEN(AA$5),1),0)+IFERROR(IF(AB34+1&gt;LARGE(AB$7:AB$126,1)-2*LEN(AB$5),1),0)+IFERROR(IF(AC34+1&gt;LARGE(AC$7:AC$126,1)-2*LEN(AC$5),1),0)+IFERROR(IF(AD34+1&gt;LARGE(AD$7:AD$126,1)-2*LEN(AD$5),1),0)+IFERROR(IF(AE34+1&gt;LARGE(AE$7:AE$126,1)-2*LEN(AE$5),1),0)+IFERROR(IF(AF34+1&gt;LARGE(AF$7:AF$126,1)-2*LEN(AF$5),1),0)+IFERROR(IF(AG34+1&gt;LARGE(AG$7:AG$126,1)-2*LEN(AG$5),1),0)+IFERROR(IF(AH34+1&gt;LARGE(AH$7:AH$126,1)-2*LEN(AH$5),1),0)+IFERROR(IF(AI34+1&gt;LARGE(AI$7:AI$126,1)-2*LEN(AI$5),1),0)</f>
        <v>0</v>
      </c>
      <c r="AP34" s="126">
        <f>IF(Z34=0,0,IF(Z34=IFERROR(LARGE(Z$7:Z$126,1),0),1,0))+IF(AA34=0,0,IF(AA34=IFERROR(LARGE(AA$7:AA$126,1),0),1,0))+IF(AB34=0,0,IF(AB34=IFERROR(LARGE(AB$7:AB$126,1),0),1,0))+IF(AC34=0,0,IF(AC34=IFERROR(LARGE(AC$7:AC$126,1),0),1,0))+IF(AD34=0,0,IF(AD34=IFERROR(LARGE(AD$7:AD$126,1),0),1,0))+IF(AE34=0,0,IF(AE34=IFERROR(LARGE(AE$7:AE$126,1),0),1,0))+IF(AF34=0,0,IF(AF34=IFERROR(LARGE(AF$7:AF$126,1),0),1,0))+IF(AG34=0,0,IF(AG34=IFERROR(LARGE(AG$7:AG$126,1),0),1,0))+IF(AH34=0,0,IF(AH34=IFERROR(LARGE(AH$7:AH$126,1),0),1,0))+IF(AI34=0,0,IF(AI34=IFERROR(LARGE(AI$7:AI$126,1),0),1,0))</f>
        <v>0</v>
      </c>
      <c r="AQ34" s="233"/>
      <c r="AR34" s="233"/>
      <c r="AS34" s="233"/>
      <c r="AT34" s="234">
        <f>SMALL(AU34:BD34,AT$3)</f>
        <v>0.0001</v>
      </c>
      <c r="AU34" s="235">
        <f>IF(Z34="  ",0+MID(Z$6,FIND("V",Z$6)+1,256)/10000,Z34+MID(Z$6,FIND("V",Z$6)+1,256)/10000)</f>
        <v>0.0001</v>
      </c>
      <c r="AV34" s="235">
        <f>IF(AA34="  ",0+MID(AA$6,FIND("V",AA$6)+1,256)/10000,AA34+MID(AA$6,FIND("V",AA$6)+1,256)/10000)</f>
        <v>4.0002</v>
      </c>
      <c r="AW34" s="235">
        <f>IF(AB34="  ",0+MID(AB$6,FIND("V",AB$6)+1,256)/10000,AB34+MID(AB$6,FIND("V",AB$6)+1,256)/10000)</f>
        <v>14.0003</v>
      </c>
      <c r="AX34" s="235">
        <f>IF(AC34="  ",0+MID(AC$6,FIND("V",AC$6)+1,256)/10000,AC34+MID(AC$6,FIND("V",AC$6)+1,256)/10000)</f>
        <v>20.0004</v>
      </c>
      <c r="AY34" s="235">
        <f>IF(AD34="  ",0+MID(AD$6,FIND("V",AD$6)+1,256)/10000,AD34+MID(AD$6,FIND("V",AD$6)+1,256)/10000)</f>
        <v>16.0005</v>
      </c>
      <c r="AZ34" s="235">
        <f>IF(AE34="  ",0+MID(AE$6,FIND("V",AE$6)+1,256)/10000,AE34+MID(AE$6,FIND("V",AE$6)+1,256)/10000)</f>
        <v>6.0006</v>
      </c>
      <c r="BA34" s="235">
        <f>IF(AF34="  ",0+MID(AF$6,FIND("V",AF$6)+1,256)/10000,AF34+MID(AF$6,FIND("V",AF$6)+1,256)/10000)</f>
        <v>0.0007</v>
      </c>
      <c r="BB34" s="235">
        <f>IF(AG34="  ",0+MID(AG$6,FIND("V",AG$6)+1,256)/10000,AG34+MID(AG$6,FIND("V",AG$6)+1,256)/10000)</f>
        <v>0.0008</v>
      </c>
      <c r="BC34" s="235">
        <f>IF(AH34="  ",0+MID(AH$6,FIND("V",AH$6)+1,256)/10000,AH34+MID(AH$6,FIND("V",AH$6)+1,256)/10000)</f>
        <v>0.0009</v>
      </c>
      <c r="BD34" s="235">
        <f>IF(AI34="  ",0+MID(AI$6,FIND("V",AI$6)+1,256)/10000,AI34+MID(AI$6,FIND("V",AI$6)+1,256)/10000)</f>
        <v>0.001</v>
      </c>
      <c r="BE34" s="233"/>
      <c r="BF34" s="233"/>
      <c r="BG34" s="233"/>
      <c r="BH34" s="233"/>
      <c r="BI34" s="3" t="e">
        <f>(LARGE(Z$7:Z$126,1)-Z34)/2+1</f>
        <v>#VALUE!</v>
      </c>
      <c r="BJ34" s="3">
        <f>(LARGE(AA$7:AA$126,1)-AA34)/2+1</f>
        <v>13</v>
      </c>
      <c r="BK34" s="3">
        <f>(LARGE(AB$7:AB$126,1)-AB34)/2+1</f>
        <v>7</v>
      </c>
      <c r="BL34" s="3">
        <f>(LARGE(AC$7:AC$126,1)-AC34)/2+1</f>
        <v>5</v>
      </c>
      <c r="BM34" s="3">
        <f>(LARGE(AD$7:AD$126,1)-AD34)/2+1</f>
        <v>13</v>
      </c>
      <c r="BN34" s="3">
        <f>(LARGE(AE$7:AE$126,1)-AE34)/2+1</f>
        <v>12</v>
      </c>
      <c r="BO34" s="3" t="e">
        <f>(LARGE(AF$7:AF$126,1)-AF34)/2+1</f>
        <v>#VALUE!</v>
      </c>
      <c r="BP34" s="3" t="e">
        <f>(LARGE(AG$7:AG$126,1)-AG34)/2+1</f>
        <v>#VALUE!</v>
      </c>
      <c r="BQ34" s="3" t="e">
        <f>(LARGE(AH$7:AH$126,1)-AH34)/2+1</f>
        <v>#NUM!</v>
      </c>
      <c r="BR34" s="3" t="e">
        <f>(LARGE(AI$7:AI$126,1)-AI34)/2+1</f>
        <v>#NUM!</v>
      </c>
    </row>
    <row r="35" spans="1:70">
      <c r="A35" s="139">
        <f>IF(R35&gt;0,IF(Q35="Viru SK",RANK(B35,B$7:B$126,1)-COUNTIF((Q$7:Q$126),"&lt;&gt;Viru SK"),""),"")</f>
        <v>22</v>
      </c>
      <c r="B35" s="140">
        <f>IF((Q35="Viru SK"),U35,U35-1000)</f>
        <v>29</v>
      </c>
      <c r="C35" s="141" t="str">
        <f>IF(R35&gt;0,IF(P35="t",RANK(D35,D$7:D$126,1)-COUNTBLANK(P$7:P$126),""),"")</f>
        <v/>
      </c>
      <c r="D35" s="142">
        <f>IF((P35="t"),U35,U35-1000)</f>
        <v>-971</v>
      </c>
      <c r="E35" s="143">
        <f>IF(R35&gt;0,IF(N35="m",RANK(F35,F$7:F$126,1)-COUNTBLANK(N$7:N$126),""),"")</f>
        <v>24</v>
      </c>
      <c r="F35" s="144">
        <f>IF((N35="m"),U35,U35-1000)</f>
        <v>29</v>
      </c>
      <c r="G35" s="145" t="str">
        <f>IF(R35&gt;0,IF(M35="n",RANK(H35,H$7:H$126,1)-COUNTBLANK(M$7:M$126),""),"")</f>
        <v/>
      </c>
      <c r="H35" s="144">
        <f>IF((M35="n"),U35,U35-1000)</f>
        <v>-971</v>
      </c>
      <c r="I35" s="160" t="str">
        <f>IF(R35&gt;0,IF(O35="j",RANK(J35,J$7:J$126,1)-COUNTBLANK(O$7:O$126),""),"")</f>
        <v/>
      </c>
      <c r="J35" s="161">
        <f>IF((O35="j"),U35,U35-1000)</f>
        <v>-971</v>
      </c>
      <c r="K35" s="162">
        <f>IF(R35&gt;0,RANK(U35,U$7:U$126,1),"")</f>
        <v>29</v>
      </c>
      <c r="L35" s="163" t="s">
        <v>225</v>
      </c>
      <c r="M35" s="164"/>
      <c r="N35" s="165" t="str">
        <f>IF(M35="","m","")</f>
        <v>m</v>
      </c>
      <c r="O35" s="166"/>
      <c r="P35" s="167"/>
      <c r="Q35" s="192" t="s">
        <v>171</v>
      </c>
      <c r="R35" s="154">
        <f>(IF(COUNT(Z35,AA35,AB35,AC35,AD35,AE35,AF35,AG35,AH35,AI35)&lt;10,SUM(Z35,AA35,AB35,AC35,AD35,AE35,AF35,AG35,AH35,AI35),SUM(LARGE((Z35,AA35,AB35,AC35,AD35,AE35,AF35,AG35,AH35,AI35),{1;2;3;4;5;6;7;8;9}))))</f>
        <v>58</v>
      </c>
      <c r="S35" s="193" t="str">
        <f>INDEX(ETAPP!B$1:B$32,MATCH(COUNTIF(BI35:BR35,1),ETAPP!A$1:A$32,0))&amp;INDEX(ETAPP!B$1:B$32,MATCH(COUNTIF(BI35:BR35,2),ETAPP!A$1:A$32,0))&amp;INDEX(ETAPP!B$1:B$32,MATCH(COUNTIF(BI35:BR35,3),ETAPP!A$1:A$32,0))&amp;INDEX(ETAPP!B$1:B$32,MATCH(COUNTIF(BI35:BR35,4),ETAPP!A$1:A$32,0))&amp;INDEX(ETAPP!B$1:B$32,MATCH(COUNTIF(BI35:BR35,5),ETAPP!A$1:A$32,0))&amp;INDEX(ETAPP!B$1:B$32,MATCH(COUNTIF(BI35:BR35,6),ETAPP!A$1:A$32,0))&amp;INDEX(ETAPP!B$1:B$32,MATCH(COUNTIF(BI35:BR35,7),ETAPP!A$1:A$32,0))&amp;INDEX(ETAPP!B$1:B$32,MATCH(COUNTIF(BI35:BR35,8),ETAPP!A$1:A$32,0))&amp;INDEX(ETAPP!B$1:B$32,MATCH(COUNTIF(BI35:BR35,9),ETAPP!A$1:A$32,0))&amp;INDEX(ETAPP!B$1:B$32,MATCH(COUNTIF(BI35:BR35,10),ETAPP!A$1:A$32,0))&amp;INDEX(ETAPP!B$1:B$32,MATCH(COUNTIF(BI35:BR35,11),ETAPP!A$1:A$32,0))&amp;INDEX(ETAPP!B$1:B$32,MATCH(COUNTIF(BI35:BR35,12),ETAPP!A$1:A$32,0))&amp;INDEX(ETAPP!B$1:B$32,MATCH(COUNTIF(BI35:BR35,13),ETAPP!A$1:A$32,0))&amp;INDEX(ETAPP!B$1:B$32,MATCH(COUNTIF(BI35:BR35,14),ETAPP!A$1:A$32,0))&amp;INDEX(ETAPP!B$1:B$32,MATCH(COUNTIF(BI35:BR35,15),ETAPP!A$1:A$32,0))&amp;INDEX(ETAPP!B$1:B$32,MATCH(COUNTIF(BI35:BR35,16),ETAPP!A$1:A$32,0))&amp;INDEX(ETAPP!B$1:B$32,MATCH(COUNTIF(BI35:BR35,17),ETAPP!A$1:A$32,0))&amp;INDEX(ETAPP!B$1:B$32,MATCH(COUNTIF(BI35:BR35,18),ETAPP!A$1:A$32,0))&amp;INDEX(ETAPP!B$1:B$32,MATCH(COUNTIF(BI35:BR35,19),ETAPP!A$1:A$32,0))&amp;INDEX(ETAPP!B$1:B$32,MATCH(COUNTIF(BI35:BR35,20),ETAPP!A$1:A$32,0))&amp;INDEX(ETAPP!B$1:B$32,MATCH(COUNTIF(BI35:BR35,21),ETAPP!A$1:A$32,0))</f>
        <v>00AA00000000000000000</v>
      </c>
      <c r="T35" s="193" t="str">
        <f>TEXT(R35,"000,0")&amp;"-"&amp;S35</f>
        <v>058,0-00AA00000000000000000</v>
      </c>
      <c r="U35" s="193">
        <f>COUNTIF(T$7:T$126,"&gt;="&amp;T35)</f>
        <v>29</v>
      </c>
      <c r="V35" s="193">
        <f>COUNTIF(L$7:L$126,"&gt;="&amp;L35)</f>
        <v>52</v>
      </c>
      <c r="W35" s="193" t="str">
        <f>TEXT(R35,"000,0")&amp;"-"&amp;S35&amp;"-"&amp;TEXT(V35,"000")</f>
        <v>058,0-00AA00000000000000000-052</v>
      </c>
      <c r="X35" s="193">
        <f>COUNTIF(W$7:W$126,"&gt;="&amp;W35)</f>
        <v>29</v>
      </c>
      <c r="Y35" s="201">
        <f>RANK(X35,X$7:X$126,0)</f>
        <v>92</v>
      </c>
      <c r="Z35" s="202" t="str">
        <f>IFERROR(INDEX('V1'!C$300:C$400,MATCH("*"&amp;L35&amp;"*",'V1'!B$300:B$400,0)),"  ")</f>
        <v>  </v>
      </c>
      <c r="AA35" s="202" t="str">
        <f>IFERROR(INDEX('V2'!C$300:C$400,MATCH("*"&amp;L35&amp;"*",'V2'!B$300:B$400,0)),"  ")</f>
        <v>  </v>
      </c>
      <c r="AB35" s="202" t="str">
        <f>IFERROR(INDEX('V3'!C$300:C$400,MATCH("*"&amp;L35&amp;"*",'V3'!B$300:B$400,0)),"  ")</f>
        <v>  </v>
      </c>
      <c r="AC35" s="202">
        <f>IFERROR(INDEX('V4'!C$300:C$400,MATCH("*"&amp;L35&amp;"*",'V4'!B$300:B$400,0)),"  ")</f>
        <v>22</v>
      </c>
      <c r="AD35" s="202">
        <f>IFERROR(INDEX('V5'!C$300:C$400,MATCH("*"&amp;L35&amp;"*",'V5'!B$300:B$400,0)),"  ")</f>
        <v>36</v>
      </c>
      <c r="AE35" s="202" t="str">
        <f>IFERROR(INDEX('V6'!C$300:C$400,MATCH("*"&amp;L35&amp;"*",'V6'!B$300:B$400,0)),"  ")</f>
        <v>  </v>
      </c>
      <c r="AF35" s="202" t="str">
        <f>IFERROR(INDEX('V7'!C$300:C$400,MATCH("*"&amp;L35&amp;"*",'V7'!B$300:B$400,0)),"  ")</f>
        <v>  </v>
      </c>
      <c r="AG35" s="202" t="str">
        <f>IFERROR(INDEX('V8'!C$300:C$400,MATCH("*"&amp;L35&amp;"*",'V8'!B$300:B$400,0)),"  ")</f>
        <v>  </v>
      </c>
      <c r="AH35" s="202"/>
      <c r="AI35" s="202"/>
      <c r="AJ35" s="222" t="str">
        <f>IF(AN35&gt;(AT$2-1),K35,"")</f>
        <v/>
      </c>
      <c r="AK35" s="223">
        <f>SUM(Z35:AI35)</f>
        <v>58</v>
      </c>
      <c r="AL35" s="224">
        <f>IFERROR("edasi "&amp;RANK(AJ35,AJ$7:AJ$126,1),K35)</f>
        <v>29</v>
      </c>
      <c r="AM35" s="225" t="str">
        <f>IFERROR(INDEX(#REF!,MATCH("*"&amp;L35&amp;"*",#REF!,0)),"  ")</f>
        <v>  </v>
      </c>
      <c r="AN35" s="226">
        <f>COUNTIF(Z35:AI35,"&gt;=0")</f>
        <v>2</v>
      </c>
      <c r="AO35" s="126">
        <f>IFERROR(IF(Z35+1&gt;LARGE(Z$7:Z$126,1)-2*LEN(Z$5),1),0)+IFERROR(IF(AA35+1&gt;LARGE(AA$7:AA$126,1)-2*LEN(AA$5),1),0)+IFERROR(IF(AB35+1&gt;LARGE(AB$7:AB$126,1)-2*LEN(AB$5),1),0)+IFERROR(IF(AC35+1&gt;LARGE(AC$7:AC$126,1)-2*LEN(AC$5),1),0)+IFERROR(IF(AD35+1&gt;LARGE(AD$7:AD$126,1)-2*LEN(AD$5),1),0)+IFERROR(IF(AE35+1&gt;LARGE(AE$7:AE$126,1)-2*LEN(AE$5),1),0)+IFERROR(IF(AF35+1&gt;LARGE(AF$7:AF$126,1)-2*LEN(AF$5),1),0)+IFERROR(IF(AG35+1&gt;LARGE(AG$7:AG$126,1)-2*LEN(AG$5),1),0)+IFERROR(IF(AH35+1&gt;LARGE(AH$7:AH$126,1)-2*LEN(AH$5),1),0)+IFERROR(IF(AI35+1&gt;LARGE(AI$7:AI$126,1)-2*LEN(AI$5),1),0)</f>
        <v>1</v>
      </c>
      <c r="AP35" s="126">
        <f>IF(Z35=0,0,IF(Z35=IFERROR(LARGE(Z$7:Z$126,1),0),1,0))+IF(AA35=0,0,IF(AA35=IFERROR(LARGE(AA$7:AA$126,1),0),1,0))+IF(AB35=0,0,IF(AB35=IFERROR(LARGE(AB$7:AB$126,1),0),1,0))+IF(AC35=0,0,IF(AC35=IFERROR(LARGE(AC$7:AC$126,1),0),1,0))+IF(AD35=0,0,IF(AD35=IFERROR(LARGE(AD$7:AD$126,1),0),1,0))+IF(AE35=0,0,IF(AE35=IFERROR(LARGE(AE$7:AE$126,1),0),1,0))+IF(AF35=0,0,IF(AF35=IFERROR(LARGE(AF$7:AF$126,1),0),1,0))+IF(AG35=0,0,IF(AG35=IFERROR(LARGE(AG$7:AG$126,1),0),1,0))+IF(AH35=0,0,IF(AH35=IFERROR(LARGE(AH$7:AH$126,1),0),1,0))+IF(AI35=0,0,IF(AI35=IFERROR(LARGE(AI$7:AI$126,1),0),1,0))</f>
        <v>0</v>
      </c>
      <c r="AQ35" s="233"/>
      <c r="AR35" s="233"/>
      <c r="AS35" s="233"/>
      <c r="AT35" s="234">
        <f>SMALL(AU35:BD35,AT$3)</f>
        <v>0.0001</v>
      </c>
      <c r="AU35" s="235">
        <f>IF(Z35="  ",0+MID(Z$6,FIND("V",Z$6)+1,256)/10000,Z35+MID(Z$6,FIND("V",Z$6)+1,256)/10000)</f>
        <v>0.0001</v>
      </c>
      <c r="AV35" s="235">
        <f>IF(AA35="  ",0+MID(AA$6,FIND("V",AA$6)+1,256)/10000,AA35+MID(AA$6,FIND("V",AA$6)+1,256)/10000)</f>
        <v>0.0002</v>
      </c>
      <c r="AW35" s="235">
        <f>IF(AB35="  ",0+MID(AB$6,FIND("V",AB$6)+1,256)/10000,AB35+MID(AB$6,FIND("V",AB$6)+1,256)/10000)</f>
        <v>0.0003</v>
      </c>
      <c r="AX35" s="235">
        <f>IF(AC35="  ",0+MID(AC$6,FIND("V",AC$6)+1,256)/10000,AC35+MID(AC$6,FIND("V",AC$6)+1,256)/10000)</f>
        <v>22.0004</v>
      </c>
      <c r="AY35" s="235">
        <f>IF(AD35="  ",0+MID(AD$6,FIND("V",AD$6)+1,256)/10000,AD35+MID(AD$6,FIND("V",AD$6)+1,256)/10000)</f>
        <v>36.0005</v>
      </c>
      <c r="AZ35" s="235">
        <f>IF(AE35="  ",0+MID(AE$6,FIND("V",AE$6)+1,256)/10000,AE35+MID(AE$6,FIND("V",AE$6)+1,256)/10000)</f>
        <v>0.0006</v>
      </c>
      <c r="BA35" s="235">
        <f>IF(AF35="  ",0+MID(AF$6,FIND("V",AF$6)+1,256)/10000,AF35+MID(AF$6,FIND("V",AF$6)+1,256)/10000)</f>
        <v>0.0007</v>
      </c>
      <c r="BB35" s="235">
        <f>IF(AG35="  ",0+MID(AG$6,FIND("V",AG$6)+1,256)/10000,AG35+MID(AG$6,FIND("V",AG$6)+1,256)/10000)</f>
        <v>0.0008</v>
      </c>
      <c r="BC35" s="235">
        <f>IF(AH35="  ",0+MID(AH$6,FIND("V",AH$6)+1,256)/10000,AH35+MID(AH$6,FIND("V",AH$6)+1,256)/10000)</f>
        <v>0.0009</v>
      </c>
      <c r="BD35" s="235">
        <f>IF(AI35="  ",0+MID(AI$6,FIND("V",AI$6)+1,256)/10000,AI35+MID(AI$6,FIND("V",AI$6)+1,256)/10000)</f>
        <v>0.001</v>
      </c>
      <c r="BE35" s="233"/>
      <c r="BF35" s="233"/>
      <c r="BG35" s="233"/>
      <c r="BH35" s="233"/>
      <c r="BI35" s="3" t="e">
        <f>(LARGE(Z$7:Z$126,1)-Z35)/2+1</f>
        <v>#VALUE!</v>
      </c>
      <c r="BJ35" s="3" t="e">
        <f>(LARGE(AA$7:AA$126,1)-AA35)/2+1</f>
        <v>#VALUE!</v>
      </c>
      <c r="BK35" s="3" t="e">
        <f>(LARGE(AB$7:AB$126,1)-AB35)/2+1</f>
        <v>#VALUE!</v>
      </c>
      <c r="BL35" s="3">
        <f>(LARGE(AC$7:AC$126,1)-AC35)/2+1</f>
        <v>4</v>
      </c>
      <c r="BM35" s="3">
        <f>(LARGE(AD$7:AD$126,1)-AD35)/2+1</f>
        <v>3</v>
      </c>
      <c r="BN35" s="3" t="e">
        <f>(LARGE(AE$7:AE$126,1)-AE35)/2+1</f>
        <v>#VALUE!</v>
      </c>
      <c r="BO35" s="3" t="e">
        <f>(LARGE(AF$7:AF$126,1)-AF35)/2+1</f>
        <v>#VALUE!</v>
      </c>
      <c r="BP35" s="3" t="e">
        <f>(LARGE(AG$7:AG$126,1)-AG35)/2+1</f>
        <v>#VALUE!</v>
      </c>
      <c r="BQ35" s="3" t="e">
        <f>(LARGE(AH$7:AH$126,1)-AH35)/2+1</f>
        <v>#NUM!</v>
      </c>
      <c r="BR35" s="3" t="e">
        <f>(LARGE(AI$7:AI$126,1)-AI35)/2+1</f>
        <v>#NUM!</v>
      </c>
    </row>
    <row r="36" spans="1:70">
      <c r="A36" s="139" t="str">
        <f>IF(R36&gt;0,IF(Q36="Viru SK",RANK(B36,B$7:B$126,1)-COUNTIF((Q$7:Q$126),"&lt;&gt;Viru SK"),""),"")</f>
        <v/>
      </c>
      <c r="B36" s="140">
        <f>IF((Q36="Viru SK"),U36,U36-1000)</f>
        <v>-970</v>
      </c>
      <c r="C36" s="141" t="str">
        <f>IF(R36&gt;0,IF(P36="t",RANK(D36,D$7:D$126,1)-COUNTBLANK(P$7:P$126),""),"")</f>
        <v/>
      </c>
      <c r="D36" s="142">
        <f>IF((P36="t"),U36,U36-1000)</f>
        <v>-970</v>
      </c>
      <c r="E36" s="143">
        <f>IF(R36&gt;0,IF(N36="m",RANK(F36,F$7:F$126,1)-COUNTBLANK(N$7:N$126),""),"")</f>
        <v>25</v>
      </c>
      <c r="F36" s="144">
        <f>IF((N36="m"),U36,U36-1000)</f>
        <v>30</v>
      </c>
      <c r="G36" s="145" t="str">
        <f>IF(R36&gt;0,IF(M36="n",RANK(H36,H$7:H$126,1)-COUNTBLANK(M$7:M$126),""),"")</f>
        <v/>
      </c>
      <c r="H36" s="144">
        <f>IF((M36="n"),U36,U36-1000)</f>
        <v>-970</v>
      </c>
      <c r="I36" s="160" t="str">
        <f>IF(R36&gt;0,IF(O36="j",RANK(J36,J$7:J$126,1)-COUNTBLANK(O$7:O$126),""),"")</f>
        <v/>
      </c>
      <c r="J36" s="161">
        <f>IF((O36="j"),U36,U36-1000)</f>
        <v>-970</v>
      </c>
      <c r="K36" s="162">
        <f>IF(R36&gt;0,RANK(U36,U$7:U$126,1),"")</f>
        <v>30</v>
      </c>
      <c r="L36" s="163" t="s">
        <v>226</v>
      </c>
      <c r="M36" s="164"/>
      <c r="N36" s="165" t="str">
        <f>IF(M36="","m","")</f>
        <v>m</v>
      </c>
      <c r="O36" s="166"/>
      <c r="P36" s="167"/>
      <c r="Q36" s="192" t="s">
        <v>200</v>
      </c>
      <c r="R36" s="154">
        <f>(IF(COUNT(Z36,AA36,AB36,AC36,AD36,AE36,AF36,AG36,AH36,AI36)&lt;10,SUM(Z36,AA36,AB36,AC36,AD36,AE36,AF36,AG36,AH36,AI36),SUM(LARGE((Z36,AA36,AB36,AC36,AD36,AE36,AF36,AG36,AH36,AI36),{1;2;3;4;5;6;7;8;9}))))</f>
        <v>54</v>
      </c>
      <c r="S36" s="193" t="str">
        <f>INDEX(ETAPP!B$1:B$32,MATCH(COUNTIF(BI36:BR36,1),ETAPP!A$1:A$32,0))&amp;INDEX(ETAPP!B$1:B$32,MATCH(COUNTIF(BI36:BR36,2),ETAPP!A$1:A$32,0))&amp;INDEX(ETAPP!B$1:B$32,MATCH(COUNTIF(BI36:BR36,3),ETAPP!A$1:A$32,0))&amp;INDEX(ETAPP!B$1:B$32,MATCH(COUNTIF(BI36:BR36,4),ETAPP!A$1:A$32,0))&amp;INDEX(ETAPP!B$1:B$32,MATCH(COUNTIF(BI36:BR36,5),ETAPP!A$1:A$32,0))&amp;INDEX(ETAPP!B$1:B$32,MATCH(COUNTIF(BI36:BR36,6),ETAPP!A$1:A$32,0))&amp;INDEX(ETAPP!B$1:B$32,MATCH(COUNTIF(BI36:BR36,7),ETAPP!A$1:A$32,0))&amp;INDEX(ETAPP!B$1:B$32,MATCH(COUNTIF(BI36:BR36,8),ETAPP!A$1:A$32,0))&amp;INDEX(ETAPP!B$1:B$32,MATCH(COUNTIF(BI36:BR36,9),ETAPP!A$1:A$32,0))&amp;INDEX(ETAPP!B$1:B$32,MATCH(COUNTIF(BI36:BR36,10),ETAPP!A$1:A$32,0))&amp;INDEX(ETAPP!B$1:B$32,MATCH(COUNTIF(BI36:BR36,11),ETAPP!A$1:A$32,0))&amp;INDEX(ETAPP!B$1:B$32,MATCH(COUNTIF(BI36:BR36,12),ETAPP!A$1:A$32,0))&amp;INDEX(ETAPP!B$1:B$32,MATCH(COUNTIF(BI36:BR36,13),ETAPP!A$1:A$32,0))&amp;INDEX(ETAPP!B$1:B$32,MATCH(COUNTIF(BI36:BR36,14),ETAPP!A$1:A$32,0))&amp;INDEX(ETAPP!B$1:B$32,MATCH(COUNTIF(BI36:BR36,15),ETAPP!A$1:A$32,0))&amp;INDEX(ETAPP!B$1:B$32,MATCH(COUNTIF(BI36:BR36,16),ETAPP!A$1:A$32,0))&amp;INDEX(ETAPP!B$1:B$32,MATCH(COUNTIF(BI36:BR36,17),ETAPP!A$1:A$32,0))&amp;INDEX(ETAPP!B$1:B$32,MATCH(COUNTIF(BI36:BR36,18),ETAPP!A$1:A$32,0))&amp;INDEX(ETAPP!B$1:B$32,MATCH(COUNTIF(BI36:BR36,19),ETAPP!A$1:A$32,0))&amp;INDEX(ETAPP!B$1:B$32,MATCH(COUNTIF(BI36:BR36,20),ETAPP!A$1:A$32,0))&amp;INDEX(ETAPP!B$1:B$32,MATCH(COUNTIF(BI36:BR36,21),ETAPP!A$1:A$32,0))</f>
        <v>00000A0A0A00000000000</v>
      </c>
      <c r="T36" s="193" t="str">
        <f>TEXT(R36,"000,0")&amp;"-"&amp;S36</f>
        <v>054,0-00000A0A0A00000000000</v>
      </c>
      <c r="U36" s="193">
        <f>COUNTIF(T$7:T$126,"&gt;="&amp;T36)</f>
        <v>30</v>
      </c>
      <c r="V36" s="193">
        <f>COUNTIF(L$7:L$126,"&gt;="&amp;L36)</f>
        <v>82</v>
      </c>
      <c r="W36" s="193" t="str">
        <f>TEXT(R36,"000,0")&amp;"-"&amp;S36&amp;"-"&amp;TEXT(V36,"000")</f>
        <v>054,0-00000A0A0A00000000000-082</v>
      </c>
      <c r="X36" s="193">
        <f>COUNTIF(W$7:W$126,"&gt;="&amp;W36)</f>
        <v>30</v>
      </c>
      <c r="Y36" s="201">
        <f>RANK(X36,X$7:X$126,0)</f>
        <v>91</v>
      </c>
      <c r="Z36" s="202" t="str">
        <f>IFERROR(INDEX('V1'!C$300:C$400,MATCH("*"&amp;L36&amp;"*",'V1'!B$300:B$400,0)),"  ")</f>
        <v>  </v>
      </c>
      <c r="AA36" s="202" t="str">
        <f>IFERROR(INDEX('V2'!C$300:C$400,MATCH("*"&amp;L36&amp;"*",'V2'!B$300:B$400,0)),"  ")</f>
        <v>  </v>
      </c>
      <c r="AB36" s="202" t="str">
        <f>IFERROR(INDEX('V3'!C$300:C$400,MATCH("*"&amp;L36&amp;"*",'V3'!B$300:B$400,0)),"  ")</f>
        <v>  </v>
      </c>
      <c r="AC36" s="202" t="str">
        <f>IFERROR(INDEX('V4'!C$300:C$400,MATCH("*"&amp;L36&amp;"*",'V4'!B$300:B$400,0)),"  ")</f>
        <v>  </v>
      </c>
      <c r="AD36" s="202">
        <f>IFERROR(INDEX('V5'!C$300:C$400,MATCH("*"&amp;L36&amp;"*",'V5'!B$300:B$400,0)),"  ")</f>
        <v>26</v>
      </c>
      <c r="AE36" s="202">
        <f>IFERROR(INDEX('V6'!C$300:C$400,MATCH("*"&amp;L36&amp;"*",'V6'!B$300:B$400,0)),"  ")</f>
        <v>18</v>
      </c>
      <c r="AF36" s="202">
        <f>IFERROR(INDEX('V7'!C$300:C$400,MATCH("*"&amp;L36&amp;"*",'V7'!B$300:B$400,0)),"  ")</f>
        <v>10</v>
      </c>
      <c r="AG36" s="202" t="str">
        <f>IFERROR(INDEX('V8'!C$300:C$400,MATCH("*"&amp;L36&amp;"*",'V8'!B$300:B$400,0)),"  ")</f>
        <v>  </v>
      </c>
      <c r="AH36" s="202"/>
      <c r="AI36" s="202"/>
      <c r="AJ36" s="222">
        <f>IF(AN36&gt;(AT$2-1),K36,"")</f>
        <v>30</v>
      </c>
      <c r="AK36" s="223">
        <f>SUM(Z36:AI36)</f>
        <v>54</v>
      </c>
      <c r="AL36" s="224" t="str">
        <f>IFERROR("edasi "&amp;RANK(AJ36,AJ$7:AJ$126,1),K36)</f>
        <v>edasi 29</v>
      </c>
      <c r="AM36" s="225" t="str">
        <f>IFERROR(INDEX(#REF!,MATCH("*"&amp;L36&amp;"*",#REF!,0)),"  ")</f>
        <v>  </v>
      </c>
      <c r="AN36" s="226">
        <f>COUNTIF(Z36:AI36,"&gt;=0")</f>
        <v>3</v>
      </c>
      <c r="AO36" s="126">
        <f>IFERROR(IF(Z36+1&gt;LARGE(Z$7:Z$126,1)-2*LEN(Z$5),1),0)+IFERROR(IF(AA36+1&gt;LARGE(AA$7:AA$126,1)-2*LEN(AA$5),1),0)+IFERROR(IF(AB36+1&gt;LARGE(AB$7:AB$126,1)-2*LEN(AB$5),1),0)+IFERROR(IF(AC36+1&gt;LARGE(AC$7:AC$126,1)-2*LEN(AC$5),1),0)+IFERROR(IF(AD36+1&gt;LARGE(AD$7:AD$126,1)-2*LEN(AD$5),1),0)+IFERROR(IF(AE36+1&gt;LARGE(AE$7:AE$126,1)-2*LEN(AE$5),1),0)+IFERROR(IF(AF36+1&gt;LARGE(AF$7:AF$126,1)-2*LEN(AF$5),1),0)+IFERROR(IF(AG36+1&gt;LARGE(AG$7:AG$126,1)-2*LEN(AG$5),1),0)+IFERROR(IF(AH36+1&gt;LARGE(AH$7:AH$126,1)-2*LEN(AH$5),1),0)+IFERROR(IF(AI36+1&gt;LARGE(AI$7:AI$126,1)-2*LEN(AI$5),1),0)</f>
        <v>0</v>
      </c>
      <c r="AP36" s="126">
        <f>IF(Z36=0,0,IF(Z36=IFERROR(LARGE(Z$7:Z$126,1),0),1,0))+IF(AA36=0,0,IF(AA36=IFERROR(LARGE(AA$7:AA$126,1),0),1,0))+IF(AB36=0,0,IF(AB36=IFERROR(LARGE(AB$7:AB$126,1),0),1,0))+IF(AC36=0,0,IF(AC36=IFERROR(LARGE(AC$7:AC$126,1),0),1,0))+IF(AD36=0,0,IF(AD36=IFERROR(LARGE(AD$7:AD$126,1),0),1,0))+IF(AE36=0,0,IF(AE36=IFERROR(LARGE(AE$7:AE$126,1),0),1,0))+IF(AF36=0,0,IF(AF36=IFERROR(LARGE(AF$7:AF$126,1),0),1,0))+IF(AG36=0,0,IF(AG36=IFERROR(LARGE(AG$7:AG$126,1),0),1,0))+IF(AH36=0,0,IF(AH36=IFERROR(LARGE(AH$7:AH$126,1),0),1,0))+IF(AI36=0,0,IF(AI36=IFERROR(LARGE(AI$7:AI$126,1),0),1,0))</f>
        <v>0</v>
      </c>
      <c r="AQ36" s="233"/>
      <c r="AR36" s="233"/>
      <c r="AS36" s="233"/>
      <c r="AT36" s="234">
        <f>SMALL(AU36:BD36,AT$3)</f>
        <v>0.0001</v>
      </c>
      <c r="AU36" s="235">
        <f>IF(Z36="  ",0+MID(Z$6,FIND("V",Z$6)+1,256)/10000,Z36+MID(Z$6,FIND("V",Z$6)+1,256)/10000)</f>
        <v>0.0001</v>
      </c>
      <c r="AV36" s="235">
        <f>IF(AA36="  ",0+MID(AA$6,FIND("V",AA$6)+1,256)/10000,AA36+MID(AA$6,FIND("V",AA$6)+1,256)/10000)</f>
        <v>0.0002</v>
      </c>
      <c r="AW36" s="235">
        <f>IF(AB36="  ",0+MID(AB$6,FIND("V",AB$6)+1,256)/10000,AB36+MID(AB$6,FIND("V",AB$6)+1,256)/10000)</f>
        <v>0.0003</v>
      </c>
      <c r="AX36" s="235">
        <f>IF(AC36="  ",0+MID(AC$6,FIND("V",AC$6)+1,256)/10000,AC36+MID(AC$6,FIND("V",AC$6)+1,256)/10000)</f>
        <v>0.0004</v>
      </c>
      <c r="AY36" s="235">
        <f>IF(AD36="  ",0+MID(AD$6,FIND("V",AD$6)+1,256)/10000,AD36+MID(AD$6,FIND("V",AD$6)+1,256)/10000)</f>
        <v>26.0005</v>
      </c>
      <c r="AZ36" s="235">
        <f>IF(AE36="  ",0+MID(AE$6,FIND("V",AE$6)+1,256)/10000,AE36+MID(AE$6,FIND("V",AE$6)+1,256)/10000)</f>
        <v>18.0006</v>
      </c>
      <c r="BA36" s="235">
        <f>IF(AF36="  ",0+MID(AF$6,FIND("V",AF$6)+1,256)/10000,AF36+MID(AF$6,FIND("V",AF$6)+1,256)/10000)</f>
        <v>10.0007</v>
      </c>
      <c r="BB36" s="235">
        <f>IF(AG36="  ",0+MID(AG$6,FIND("V",AG$6)+1,256)/10000,AG36+MID(AG$6,FIND("V",AG$6)+1,256)/10000)</f>
        <v>0.0008</v>
      </c>
      <c r="BC36" s="235">
        <f>IF(AH36="  ",0+MID(AH$6,FIND("V",AH$6)+1,256)/10000,AH36+MID(AH$6,FIND("V",AH$6)+1,256)/10000)</f>
        <v>0.0009</v>
      </c>
      <c r="BD36" s="235">
        <f>IF(AI36="  ",0+MID(AI$6,FIND("V",AI$6)+1,256)/10000,AI36+MID(AI$6,FIND("V",AI$6)+1,256)/10000)</f>
        <v>0.001</v>
      </c>
      <c r="BE36" s="233"/>
      <c r="BF36" s="233"/>
      <c r="BG36" s="233"/>
      <c r="BH36" s="233"/>
      <c r="BI36" s="3" t="e">
        <f>(LARGE(Z$7:Z$126,1)-Z36)/2+1</f>
        <v>#VALUE!</v>
      </c>
      <c r="BJ36" s="3" t="e">
        <f>(LARGE(AA$7:AA$126,1)-AA36)/2+1</f>
        <v>#VALUE!</v>
      </c>
      <c r="BK36" s="3" t="e">
        <f>(LARGE(AB$7:AB$126,1)-AB36)/2+1</f>
        <v>#VALUE!</v>
      </c>
      <c r="BL36" s="3" t="e">
        <f>(LARGE(AC$7:AC$126,1)-AC36)/2+1</f>
        <v>#VALUE!</v>
      </c>
      <c r="BM36" s="3">
        <f>(LARGE(AD$7:AD$126,1)-AD36)/2+1</f>
        <v>8</v>
      </c>
      <c r="BN36" s="3">
        <f>(LARGE(AE$7:AE$126,1)-AE36)/2+1</f>
        <v>6</v>
      </c>
      <c r="BO36" s="3">
        <f>(LARGE(AF$7:AF$126,1)-AF36)/2+1</f>
        <v>10</v>
      </c>
      <c r="BP36" s="3" t="e">
        <f>(LARGE(AG$7:AG$126,1)-AG36)/2+1</f>
        <v>#VALUE!</v>
      </c>
      <c r="BQ36" s="3" t="e">
        <f>(LARGE(AH$7:AH$126,1)-AH36)/2+1</f>
        <v>#NUM!</v>
      </c>
      <c r="BR36" s="3" t="e">
        <f>(LARGE(AI$7:AI$126,1)-AI36)/2+1</f>
        <v>#NUM!</v>
      </c>
    </row>
    <row r="37" spans="1:70">
      <c r="A37" s="139" t="str">
        <f>IF(R37&gt;0,IF(Q37="Viru SK",RANK(B37,B$7:B$126,1)-COUNTIF((Q$7:Q$126),"&lt;&gt;Viru SK"),""),"")</f>
        <v/>
      </c>
      <c r="B37" s="140">
        <f>IF((Q37="Viru SK"),U37,U37-1000)</f>
        <v>-969</v>
      </c>
      <c r="C37" s="141" t="str">
        <f>IF(R37&gt;0,IF(P37="t",RANK(D37,D$7:D$126,1)-COUNTBLANK(P$7:P$126),""),"")</f>
        <v/>
      </c>
      <c r="D37" s="142">
        <f>IF((P37="t"),U37,U37-1000)</f>
        <v>-969</v>
      </c>
      <c r="E37" s="143">
        <f>IF(R37&gt;0,IF(N37="m",RANK(F37,F$7:F$126,1)-COUNTBLANK(N$7:N$126),""),"")</f>
        <v>26</v>
      </c>
      <c r="F37" s="144">
        <f>IF((N37="m"),U37,U37-1000)</f>
        <v>31</v>
      </c>
      <c r="G37" s="145" t="str">
        <f>IF(R37&gt;0,IF(M37="n",RANK(H37,H$7:H$126,1)-COUNTBLANK(M$7:M$126),""),"")</f>
        <v/>
      </c>
      <c r="H37" s="144">
        <f>IF((M37="n"),U37,U37-1000)</f>
        <v>-969</v>
      </c>
      <c r="I37" s="160" t="str">
        <f>IF(R37&gt;0,IF(O37="j",RANK(J37,J$7:J$126,1)-COUNTBLANK(O$7:O$126),""),"")</f>
        <v/>
      </c>
      <c r="J37" s="161">
        <f>IF((O37="j"),U37,U37-1000)</f>
        <v>-969</v>
      </c>
      <c r="K37" s="162">
        <f>IF(R37&gt;0,RANK(U37,U$7:U$126,1),"")</f>
        <v>31</v>
      </c>
      <c r="L37" s="168" t="s">
        <v>227</v>
      </c>
      <c r="M37" s="164"/>
      <c r="N37" s="165" t="str">
        <f>IF(M37="","m","")</f>
        <v>m</v>
      </c>
      <c r="O37" s="166"/>
      <c r="P37" s="167"/>
      <c r="Q37" s="192" t="s">
        <v>200</v>
      </c>
      <c r="R37" s="154">
        <f>(IF(COUNT(Z37,AA37,AB37,AC37,AD37,AE37,AF37,AG37,AH37,AI37)&lt;10,SUM(Z37,AA37,AB37,AC37,AD37,AE37,AF37,AG37,AH37,AI37),SUM(LARGE((Z37,AA37,AB37,AC37,AD37,AE37,AF37,AG37,AH37,AI37),{1;2;3;4;5;6;7;8;9}))))</f>
        <v>50</v>
      </c>
      <c r="S37" s="193" t="str">
        <f>INDEX(ETAPP!B$1:B$32,MATCH(COUNTIF(BI37:BR37,1),ETAPP!A$1:A$32,0))&amp;INDEX(ETAPP!B$1:B$32,MATCH(COUNTIF(BI37:BR37,2),ETAPP!A$1:A$32,0))&amp;INDEX(ETAPP!B$1:B$32,MATCH(COUNTIF(BI37:BR37,3),ETAPP!A$1:A$32,0))&amp;INDEX(ETAPP!B$1:B$32,MATCH(COUNTIF(BI37:BR37,4),ETAPP!A$1:A$32,0))&amp;INDEX(ETAPP!B$1:B$32,MATCH(COUNTIF(BI37:BR37,5),ETAPP!A$1:A$32,0))&amp;INDEX(ETAPP!B$1:B$32,MATCH(COUNTIF(BI37:BR37,6),ETAPP!A$1:A$32,0))&amp;INDEX(ETAPP!B$1:B$32,MATCH(COUNTIF(BI37:BR37,7),ETAPP!A$1:A$32,0))&amp;INDEX(ETAPP!B$1:B$32,MATCH(COUNTIF(BI37:BR37,8),ETAPP!A$1:A$32,0))&amp;INDEX(ETAPP!B$1:B$32,MATCH(COUNTIF(BI37:BR37,9),ETAPP!A$1:A$32,0))&amp;INDEX(ETAPP!B$1:B$32,MATCH(COUNTIF(BI37:BR37,10),ETAPP!A$1:A$32,0))&amp;INDEX(ETAPP!B$1:B$32,MATCH(COUNTIF(BI37:BR37,11),ETAPP!A$1:A$32,0))&amp;INDEX(ETAPP!B$1:B$32,MATCH(COUNTIF(BI37:BR37,12),ETAPP!A$1:A$32,0))&amp;INDEX(ETAPP!B$1:B$32,MATCH(COUNTIF(BI37:BR37,13),ETAPP!A$1:A$32,0))&amp;INDEX(ETAPP!B$1:B$32,MATCH(COUNTIF(BI37:BR37,14),ETAPP!A$1:A$32,0))&amp;INDEX(ETAPP!B$1:B$32,MATCH(COUNTIF(BI37:BR37,15),ETAPP!A$1:A$32,0))&amp;INDEX(ETAPP!B$1:B$32,MATCH(COUNTIF(BI37:BR37,16),ETAPP!A$1:A$32,0))&amp;INDEX(ETAPP!B$1:B$32,MATCH(COUNTIF(BI37:BR37,17),ETAPP!A$1:A$32,0))&amp;INDEX(ETAPP!B$1:B$32,MATCH(COUNTIF(BI37:BR37,18),ETAPP!A$1:A$32,0))&amp;INDEX(ETAPP!B$1:B$32,MATCH(COUNTIF(BI37:BR37,19),ETAPP!A$1:A$32,0))&amp;INDEX(ETAPP!B$1:B$32,MATCH(COUNTIF(BI37:BR37,20),ETAPP!A$1:A$32,0))&amp;INDEX(ETAPP!B$1:B$32,MATCH(COUNTIF(BI37:BR37,21),ETAPP!A$1:A$32,0))</f>
        <v>0000B00000AA000000000</v>
      </c>
      <c r="T37" s="193" t="str">
        <f>TEXT(R37,"000,0")&amp;"-"&amp;S37</f>
        <v>050,0-0000B00000AA000000000</v>
      </c>
      <c r="U37" s="193">
        <f>COUNTIF(T$7:T$126,"&gt;="&amp;T37)</f>
        <v>31</v>
      </c>
      <c r="V37" s="193">
        <f>COUNTIF(L$7:L$126,"&gt;="&amp;L37)</f>
        <v>16</v>
      </c>
      <c r="W37" s="193" t="str">
        <f>TEXT(R37,"000,0")&amp;"-"&amp;S37&amp;"-"&amp;TEXT(V37,"000")</f>
        <v>050,0-0000B00000AA000000000-016</v>
      </c>
      <c r="X37" s="193">
        <f>COUNTIF(W$7:W$126,"&gt;="&amp;W37)</f>
        <v>31</v>
      </c>
      <c r="Y37" s="201">
        <f>RANK(X37,X$7:X$126,0)</f>
        <v>90</v>
      </c>
      <c r="Z37" s="202" t="str">
        <f>IFERROR(INDEX('V1'!C$300:C$400,MATCH("*"&amp;L37&amp;"*",'V1'!B$300:B$400,0)),"  ")</f>
        <v>  </v>
      </c>
      <c r="AA37" s="202">
        <f>IFERROR(INDEX('V2'!C$300:C$400,MATCH("*"&amp;L37&amp;"*",'V2'!B$300:B$400,0)),"  ")</f>
        <v>6</v>
      </c>
      <c r="AB37" s="202">
        <f>IFERROR(INDEX('V3'!C$300:C$400,MATCH("*"&amp;L37&amp;"*",'V3'!B$300:B$400,0)),"  ")</f>
        <v>6</v>
      </c>
      <c r="AC37" s="202" t="str">
        <f>IFERROR(INDEX('V4'!C$300:C$400,MATCH("*"&amp;L37&amp;"*",'V4'!B$300:B$400,0)),"  ")</f>
        <v>  </v>
      </c>
      <c r="AD37" s="202" t="str">
        <f>IFERROR(INDEX('V5'!C$300:C$400,MATCH("*"&amp;L37&amp;"*",'V5'!B$300:B$400,0)),"  ")</f>
        <v>  </v>
      </c>
      <c r="AE37" s="202">
        <f>IFERROR(INDEX('V6'!C$300:C$400,MATCH("*"&amp;L37&amp;"*",'V6'!B$300:B$400,0)),"  ")</f>
        <v>20</v>
      </c>
      <c r="AF37" s="202" t="str">
        <f>IFERROR(INDEX('V7'!C$300:C$400,MATCH("*"&amp;L37&amp;"*",'V7'!B$300:B$400,0)),"  ")</f>
        <v>  </v>
      </c>
      <c r="AG37" s="202">
        <f>IFERROR(INDEX('V8'!C$300:C$400,MATCH("*"&amp;L37&amp;"*",'V8'!B$300:B$400,0)),"  ")</f>
        <v>18</v>
      </c>
      <c r="AH37" s="202"/>
      <c r="AI37" s="202"/>
      <c r="AJ37" s="222">
        <f>IF(AN37&gt;(AT$2-1),K37,"")</f>
        <v>31</v>
      </c>
      <c r="AK37" s="223">
        <f>SUM(Z37:AI37)</f>
        <v>50</v>
      </c>
      <c r="AL37" s="224" t="str">
        <f>IFERROR("edasi "&amp;RANK(AJ37,AJ$7:AJ$126,1),K37)</f>
        <v>edasi 30</v>
      </c>
      <c r="AM37" s="225" t="str">
        <f>IFERROR(INDEX(#REF!,MATCH("*"&amp;L37&amp;"*",#REF!,0)),"  ")</f>
        <v>  </v>
      </c>
      <c r="AN37" s="226">
        <f>COUNTIF(Z37:AI37,"&gt;=0")</f>
        <v>4</v>
      </c>
      <c r="AO37" s="126">
        <f>IFERROR(IF(Z37+1&gt;LARGE(Z$7:Z$126,1)-2*LEN(Z$5),1),0)+IFERROR(IF(AA37+1&gt;LARGE(AA$7:AA$126,1)-2*LEN(AA$5),1),0)+IFERROR(IF(AB37+1&gt;LARGE(AB$7:AB$126,1)-2*LEN(AB$5),1),0)+IFERROR(IF(AC37+1&gt;LARGE(AC$7:AC$126,1)-2*LEN(AC$5),1),0)+IFERROR(IF(AD37+1&gt;LARGE(AD$7:AD$126,1)-2*LEN(AD$5),1),0)+IFERROR(IF(AE37+1&gt;LARGE(AE$7:AE$126,1)-2*LEN(AE$5),1),0)+IFERROR(IF(AF37+1&gt;LARGE(AF$7:AF$126,1)-2*LEN(AF$5),1),0)+IFERROR(IF(AG37+1&gt;LARGE(AG$7:AG$126,1)-2*LEN(AG$5),1),0)+IFERROR(IF(AH37+1&gt;LARGE(AH$7:AH$126,1)-2*LEN(AH$5),1),0)+IFERROR(IF(AI37+1&gt;LARGE(AI$7:AI$126,1)-2*LEN(AI$5),1),0)</f>
        <v>0</v>
      </c>
      <c r="AP37" s="126">
        <f>IF(Z37=0,0,IF(Z37=IFERROR(LARGE(Z$7:Z$126,1),0),1,0))+IF(AA37=0,0,IF(AA37=IFERROR(LARGE(AA$7:AA$126,1),0),1,0))+IF(AB37=0,0,IF(AB37=IFERROR(LARGE(AB$7:AB$126,1),0),1,0))+IF(AC37=0,0,IF(AC37=IFERROR(LARGE(AC$7:AC$126,1),0),1,0))+IF(AD37=0,0,IF(AD37=IFERROR(LARGE(AD$7:AD$126,1),0),1,0))+IF(AE37=0,0,IF(AE37=IFERROR(LARGE(AE$7:AE$126,1),0),1,0))+IF(AF37=0,0,IF(AF37=IFERROR(LARGE(AF$7:AF$126,1),0),1,0))+IF(AG37=0,0,IF(AG37=IFERROR(LARGE(AG$7:AG$126,1),0),1,0))+IF(AH37=0,0,IF(AH37=IFERROR(LARGE(AH$7:AH$126,1),0),1,0))+IF(AI37=0,0,IF(AI37=IFERROR(LARGE(AI$7:AI$126,1),0),1,0))</f>
        <v>0</v>
      </c>
      <c r="AQ37" s="233"/>
      <c r="AR37" s="233"/>
      <c r="AS37" s="233"/>
      <c r="AT37" s="234">
        <f>SMALL(AU37:BD37,AT$3)</f>
        <v>0.0001</v>
      </c>
      <c r="AU37" s="235">
        <f>IF(Z37="  ",0+MID(Z$6,FIND("V",Z$6)+1,256)/10000,Z37+MID(Z$6,FIND("V",Z$6)+1,256)/10000)</f>
        <v>0.0001</v>
      </c>
      <c r="AV37" s="235">
        <f>IF(AA37="  ",0+MID(AA$6,FIND("V",AA$6)+1,256)/10000,AA37+MID(AA$6,FIND("V",AA$6)+1,256)/10000)</f>
        <v>6.0002</v>
      </c>
      <c r="AW37" s="235">
        <f>IF(AB37="  ",0+MID(AB$6,FIND("V",AB$6)+1,256)/10000,AB37+MID(AB$6,FIND("V",AB$6)+1,256)/10000)</f>
        <v>6.0003</v>
      </c>
      <c r="AX37" s="235">
        <f>IF(AC37="  ",0+MID(AC$6,FIND("V",AC$6)+1,256)/10000,AC37+MID(AC$6,FIND("V",AC$6)+1,256)/10000)</f>
        <v>0.0004</v>
      </c>
      <c r="AY37" s="235">
        <f>IF(AD37="  ",0+MID(AD$6,FIND("V",AD$6)+1,256)/10000,AD37+MID(AD$6,FIND("V",AD$6)+1,256)/10000)</f>
        <v>0.0005</v>
      </c>
      <c r="AZ37" s="235">
        <f>IF(AE37="  ",0+MID(AE$6,FIND("V",AE$6)+1,256)/10000,AE37+MID(AE$6,FIND("V",AE$6)+1,256)/10000)</f>
        <v>20.0006</v>
      </c>
      <c r="BA37" s="235">
        <f>IF(AF37="  ",0+MID(AF$6,FIND("V",AF$6)+1,256)/10000,AF37+MID(AF$6,FIND("V",AF$6)+1,256)/10000)</f>
        <v>0.0007</v>
      </c>
      <c r="BB37" s="235">
        <f>IF(AG37="  ",0+MID(AG$6,FIND("V",AG$6)+1,256)/10000,AG37+MID(AG$6,FIND("V",AG$6)+1,256)/10000)</f>
        <v>18.0008</v>
      </c>
      <c r="BC37" s="235">
        <f>IF(AH37="  ",0+MID(AH$6,FIND("V",AH$6)+1,256)/10000,AH37+MID(AH$6,FIND("V",AH$6)+1,256)/10000)</f>
        <v>0.0009</v>
      </c>
      <c r="BD37" s="235">
        <f>IF(AI37="  ",0+MID(AI$6,FIND("V",AI$6)+1,256)/10000,AI37+MID(AI$6,FIND("V",AI$6)+1,256)/10000)</f>
        <v>0.001</v>
      </c>
      <c r="BE37" s="233"/>
      <c r="BF37" s="233"/>
      <c r="BG37" s="233"/>
      <c r="BH37" s="233"/>
      <c r="BI37" s="3" t="e">
        <f>(LARGE(Z$7:Z$126,1)-Z37)/2+1</f>
        <v>#VALUE!</v>
      </c>
      <c r="BJ37" s="3">
        <f>(LARGE(AA$7:AA$126,1)-AA37)/2+1</f>
        <v>12</v>
      </c>
      <c r="BK37" s="3">
        <f>(LARGE(AB$7:AB$126,1)-AB37)/2+1</f>
        <v>11</v>
      </c>
      <c r="BL37" s="3" t="e">
        <f>(LARGE(AC$7:AC$126,1)-AC37)/2+1</f>
        <v>#VALUE!</v>
      </c>
      <c r="BM37" s="3" t="e">
        <f>(LARGE(AD$7:AD$126,1)-AD37)/2+1</f>
        <v>#VALUE!</v>
      </c>
      <c r="BN37" s="3">
        <f>(LARGE(AE$7:AE$126,1)-AE37)/2+1</f>
        <v>5</v>
      </c>
      <c r="BO37" s="3" t="e">
        <f>(LARGE(AF$7:AF$126,1)-AF37)/2+1</f>
        <v>#VALUE!</v>
      </c>
      <c r="BP37" s="3">
        <f>(LARGE(AG$7:AG$126,1)-AG37)/2+1</f>
        <v>5</v>
      </c>
      <c r="BQ37" s="3" t="e">
        <f>(LARGE(AH$7:AH$126,1)-AH37)/2+1</f>
        <v>#NUM!</v>
      </c>
      <c r="BR37" s="3" t="e">
        <f>(LARGE(AI$7:AI$126,1)-AI37)/2+1</f>
        <v>#NUM!</v>
      </c>
    </row>
    <row r="38" ht="12.75" customHeight="1" spans="1:70">
      <c r="A38" s="139">
        <f>IF(R38&gt;0,IF(Q38="Viru SK",RANK(B38,B$7:B$126,1)-COUNTIF((Q$7:Q$126),"&lt;&gt;Viru SK"),""),"")</f>
        <v>23</v>
      </c>
      <c r="B38" s="140">
        <f>IF((Q38="Viru SK"),U38,U38-1000)</f>
        <v>32</v>
      </c>
      <c r="C38" s="141" t="str">
        <f>IF(R38&gt;0,IF(P38="t",RANK(D38,D$7:D$126,1)-COUNTBLANK(P$7:P$126),""),"")</f>
        <v/>
      </c>
      <c r="D38" s="142">
        <f>IF((P38="t"),U38,U38-1000)</f>
        <v>-968</v>
      </c>
      <c r="E38" s="143" t="str">
        <f>IF(R38&gt;0,IF(N38="m",RANK(F38,F$7:F$126,1)-COUNTBLANK(N$7:N$126),""),"")</f>
        <v/>
      </c>
      <c r="F38" s="144">
        <f>IF((N38="m"),U38,U38-1000)</f>
        <v>-968</v>
      </c>
      <c r="G38" s="145">
        <f>IF(R38&gt;0,IF(M38="n",RANK(H38,H$7:H$126,1)-COUNTBLANK(M$7:M$126),""),"")</f>
        <v>7</v>
      </c>
      <c r="H38" s="144">
        <f>IF((M38="n"),U38,U38-1000)</f>
        <v>32</v>
      </c>
      <c r="I38" s="160" t="str">
        <f>IF(R38&gt;0,IF(O38="j",RANK(J38,J$7:J$126,1)-COUNTBLANK(O$7:O$126),""),"")</f>
        <v/>
      </c>
      <c r="J38" s="161">
        <f>IF((O38="j"),U38,U38-1000)</f>
        <v>-968</v>
      </c>
      <c r="K38" s="162">
        <f>IF(R38&gt;0,RANK(U38,U$7:U$126,1),"")</f>
        <v>32</v>
      </c>
      <c r="L38" s="168" t="s">
        <v>228</v>
      </c>
      <c r="M38" s="164" t="s">
        <v>203</v>
      </c>
      <c r="N38" s="165"/>
      <c r="O38" s="166"/>
      <c r="P38" s="167"/>
      <c r="Q38" s="192" t="s">
        <v>171</v>
      </c>
      <c r="R38" s="154">
        <f>(IF(COUNT(Z38,AA38,AB38,AC38,AD38,AE38,AF38,AG38,AH38,AI38)&lt;10,SUM(Z38,AA38,AB38,AC38,AD38,AE38,AF38,AG38,AH38,AI38),SUM(LARGE((Z38,AA38,AB38,AC38,AD38,AE38,AF38,AG38,AH38,AI38),{1;2;3;4;5;6;7;8;9}))))</f>
        <v>48</v>
      </c>
      <c r="S38" s="193" t="str">
        <f>INDEX(ETAPP!B$1:B$32,MATCH(COUNTIF(BI38:BR38,1),ETAPP!A$1:A$32,0))&amp;INDEX(ETAPP!B$1:B$32,MATCH(COUNTIF(BI38:BR38,2),ETAPP!A$1:A$32,0))&amp;INDEX(ETAPP!B$1:B$32,MATCH(COUNTIF(BI38:BR38,3),ETAPP!A$1:A$32,0))&amp;INDEX(ETAPP!B$1:B$32,MATCH(COUNTIF(BI38:BR38,4),ETAPP!A$1:A$32,0))&amp;INDEX(ETAPP!B$1:B$32,MATCH(COUNTIF(BI38:BR38,5),ETAPP!A$1:A$32,0))&amp;INDEX(ETAPP!B$1:B$32,MATCH(COUNTIF(BI38:BR38,6),ETAPP!A$1:A$32,0))&amp;INDEX(ETAPP!B$1:B$32,MATCH(COUNTIF(BI38:BR38,7),ETAPP!A$1:A$32,0))&amp;INDEX(ETAPP!B$1:B$32,MATCH(COUNTIF(BI38:BR38,8),ETAPP!A$1:A$32,0))&amp;INDEX(ETAPP!B$1:B$32,MATCH(COUNTIF(BI38:BR38,9),ETAPP!A$1:A$32,0))&amp;INDEX(ETAPP!B$1:B$32,MATCH(COUNTIF(BI38:BR38,10),ETAPP!A$1:A$32,0))&amp;INDEX(ETAPP!B$1:B$32,MATCH(COUNTIF(BI38:BR38,11),ETAPP!A$1:A$32,0))&amp;INDEX(ETAPP!B$1:B$32,MATCH(COUNTIF(BI38:BR38,12),ETAPP!A$1:A$32,0))&amp;INDEX(ETAPP!B$1:B$32,MATCH(COUNTIF(BI38:BR38,13),ETAPP!A$1:A$32,0))&amp;INDEX(ETAPP!B$1:B$32,MATCH(COUNTIF(BI38:BR38,14),ETAPP!A$1:A$32,0))&amp;INDEX(ETAPP!B$1:B$32,MATCH(COUNTIF(BI38:BR38,15),ETAPP!A$1:A$32,0))&amp;INDEX(ETAPP!B$1:B$32,MATCH(COUNTIF(BI38:BR38,16),ETAPP!A$1:A$32,0))&amp;INDEX(ETAPP!B$1:B$32,MATCH(COUNTIF(BI38:BR38,17),ETAPP!A$1:A$32,0))&amp;INDEX(ETAPP!B$1:B$32,MATCH(COUNTIF(BI38:BR38,18),ETAPP!A$1:A$32,0))&amp;INDEX(ETAPP!B$1:B$32,MATCH(COUNTIF(BI38:BR38,19),ETAPP!A$1:A$32,0))&amp;INDEX(ETAPP!B$1:B$32,MATCH(COUNTIF(BI38:BR38,20),ETAPP!A$1:A$32,0))&amp;INDEX(ETAPP!B$1:B$32,MATCH(COUNTIF(BI38:BR38,21),ETAPP!A$1:A$32,0))</f>
        <v>0000A00A00AAB0000A000</v>
      </c>
      <c r="T38" s="193" t="str">
        <f>TEXT(R38,"000,0")&amp;"-"&amp;S38</f>
        <v>048,0-0000A00A00AAB0000A000</v>
      </c>
      <c r="U38" s="193">
        <f>COUNTIF(T$7:T$126,"&gt;="&amp;T38)</f>
        <v>32</v>
      </c>
      <c r="V38" s="193">
        <f>COUNTIF(L$7:L$126,"&gt;="&amp;L38)</f>
        <v>61</v>
      </c>
      <c r="W38" s="193" t="str">
        <f>TEXT(R38,"000,0")&amp;"-"&amp;S38&amp;"-"&amp;TEXT(V38,"000")</f>
        <v>048,0-0000A00A00AAB0000A000-061</v>
      </c>
      <c r="X38" s="193">
        <f>COUNTIF(W$7:W$126,"&gt;="&amp;W38)</f>
        <v>32</v>
      </c>
      <c r="Y38" s="201">
        <f>RANK(X38,X$7:X$126,0)</f>
        <v>89</v>
      </c>
      <c r="Z38" s="202">
        <f>IFERROR(INDEX('V1'!C$300:C$400,MATCH("*"&amp;L38&amp;"*",'V1'!B$300:B$400,0)),"  ")</f>
        <v>4</v>
      </c>
      <c r="AA38" s="202">
        <f>IFERROR(INDEX('V2'!C$300:C$400,MATCH("*"&amp;L38&amp;"*",'V2'!B$300:B$400,0)),"  ")</f>
        <v>8</v>
      </c>
      <c r="AB38" s="202">
        <f>IFERROR(INDEX('V3'!C$300:C$400,MATCH("*"&amp;L38&amp;"*",'V3'!B$300:B$400,0)),"  ")</f>
        <v>4</v>
      </c>
      <c r="AC38" s="202">
        <f>IFERROR(INDEX('V4'!C$300:C$400,MATCH("*"&amp;L38&amp;"*",'V4'!B$300:B$400,0)),"  ")</f>
        <v>4</v>
      </c>
      <c r="AD38" s="202">
        <f>IFERROR(INDEX('V5'!C$300:C$400,MATCH("*"&amp;L38&amp;"*",'V5'!B$300:B$400,0)),"  ")</f>
        <v>6</v>
      </c>
      <c r="AE38" s="202">
        <f>IFERROR(INDEX('V6'!C$300:C$400,MATCH("*"&amp;L38&amp;"*",'V6'!B$300:B$400,0)),"  ")</f>
        <v>20</v>
      </c>
      <c r="AF38" s="202" t="str">
        <f>IFERROR(INDEX('V7'!C$300:C$400,MATCH("*"&amp;L38&amp;"*",'V7'!B$300:B$400,0)),"  ")</f>
        <v>  </v>
      </c>
      <c r="AG38" s="202">
        <f>IFERROR(INDEX('V8'!C$300:C$400,MATCH("*"&amp;L38&amp;"*",'V8'!B$300:B$400,0)),"  ")</f>
        <v>2</v>
      </c>
      <c r="AH38" s="202"/>
      <c r="AI38" s="202"/>
      <c r="AJ38" s="222">
        <f>IF(AN38&gt;(AT$2-1),K38,"")</f>
        <v>32</v>
      </c>
      <c r="AK38" s="223">
        <f>SUM(Z38:AI38)</f>
        <v>48</v>
      </c>
      <c r="AL38" s="224" t="str">
        <f>IFERROR("edasi "&amp;RANK(AJ38,AJ$7:AJ$126,1),K38)</f>
        <v>edasi 31</v>
      </c>
      <c r="AM38" s="225" t="str">
        <f>IFERROR(INDEX(#REF!,MATCH("*"&amp;L38&amp;"*",#REF!,0)),"  ")</f>
        <v>  </v>
      </c>
      <c r="AN38" s="226">
        <f>COUNTIF(Z38:AI38,"&gt;=0")</f>
        <v>7</v>
      </c>
      <c r="AO38" s="126">
        <f>IFERROR(IF(Z38+1&gt;LARGE(Z$7:Z$126,1)-2*LEN(Z$5),1),0)+IFERROR(IF(AA38+1&gt;LARGE(AA$7:AA$126,1)-2*LEN(AA$5),1),0)+IFERROR(IF(AB38+1&gt;LARGE(AB$7:AB$126,1)-2*LEN(AB$5),1),0)+IFERROR(IF(AC38+1&gt;LARGE(AC$7:AC$126,1)-2*LEN(AC$5),1),0)+IFERROR(IF(AD38+1&gt;LARGE(AD$7:AD$126,1)-2*LEN(AD$5),1),0)+IFERROR(IF(AE38+1&gt;LARGE(AE$7:AE$126,1)-2*LEN(AE$5),1),0)+IFERROR(IF(AF38+1&gt;LARGE(AF$7:AF$126,1)-2*LEN(AF$5),1),0)+IFERROR(IF(AG38+1&gt;LARGE(AG$7:AG$126,1)-2*LEN(AG$5),1),0)+IFERROR(IF(AH38+1&gt;LARGE(AH$7:AH$126,1)-2*LEN(AH$5),1),0)+IFERROR(IF(AI38+1&gt;LARGE(AI$7:AI$126,1)-2*LEN(AI$5),1),0)</f>
        <v>0</v>
      </c>
      <c r="AP38" s="126">
        <f>IF(Z38=0,0,IF(Z38=IFERROR(LARGE(Z$7:Z$126,1),0),1,0))+IF(AA38=0,0,IF(AA38=IFERROR(LARGE(AA$7:AA$126,1),0),1,0))+IF(AB38=0,0,IF(AB38=IFERROR(LARGE(AB$7:AB$126,1),0),1,0))+IF(AC38=0,0,IF(AC38=IFERROR(LARGE(AC$7:AC$126,1),0),1,0))+IF(AD38=0,0,IF(AD38=IFERROR(LARGE(AD$7:AD$126,1),0),1,0))+IF(AE38=0,0,IF(AE38=IFERROR(LARGE(AE$7:AE$126,1),0),1,0))+IF(AF38=0,0,IF(AF38=IFERROR(LARGE(AF$7:AF$126,1),0),1,0))+IF(AG38=0,0,IF(AG38=IFERROR(LARGE(AG$7:AG$126,1),0),1,0))+IF(AH38=0,0,IF(AH38=IFERROR(LARGE(AH$7:AH$126,1),0),1,0))+IF(AI38=0,0,IF(AI38=IFERROR(LARGE(AI$7:AI$126,1),0),1,0))</f>
        <v>0</v>
      </c>
      <c r="AQ38" s="233"/>
      <c r="AR38" s="233"/>
      <c r="AS38" s="233"/>
      <c r="AT38" s="234">
        <f>SMALL(AU38:BD38,AT$3)</f>
        <v>0.0007</v>
      </c>
      <c r="AU38" s="235">
        <f>IF(Z38="  ",0+MID(Z$6,FIND("V",Z$6)+1,256)/10000,Z38+MID(Z$6,FIND("V",Z$6)+1,256)/10000)</f>
        <v>4.0001</v>
      </c>
      <c r="AV38" s="235">
        <f>IF(AA38="  ",0+MID(AA$6,FIND("V",AA$6)+1,256)/10000,AA38+MID(AA$6,FIND("V",AA$6)+1,256)/10000)</f>
        <v>8.0002</v>
      </c>
      <c r="AW38" s="235">
        <f>IF(AB38="  ",0+MID(AB$6,FIND("V",AB$6)+1,256)/10000,AB38+MID(AB$6,FIND("V",AB$6)+1,256)/10000)</f>
        <v>4.0003</v>
      </c>
      <c r="AX38" s="235">
        <f>IF(AC38="  ",0+MID(AC$6,FIND("V",AC$6)+1,256)/10000,AC38+MID(AC$6,FIND("V",AC$6)+1,256)/10000)</f>
        <v>4.0004</v>
      </c>
      <c r="AY38" s="235">
        <f>IF(AD38="  ",0+MID(AD$6,FIND("V",AD$6)+1,256)/10000,AD38+MID(AD$6,FIND("V",AD$6)+1,256)/10000)</f>
        <v>6.0005</v>
      </c>
      <c r="AZ38" s="235">
        <f>IF(AE38="  ",0+MID(AE$6,FIND("V",AE$6)+1,256)/10000,AE38+MID(AE$6,FIND("V",AE$6)+1,256)/10000)</f>
        <v>20.0006</v>
      </c>
      <c r="BA38" s="235">
        <f>IF(AF38="  ",0+MID(AF$6,FIND("V",AF$6)+1,256)/10000,AF38+MID(AF$6,FIND("V",AF$6)+1,256)/10000)</f>
        <v>0.0007</v>
      </c>
      <c r="BB38" s="235">
        <f>IF(AG38="  ",0+MID(AG$6,FIND("V",AG$6)+1,256)/10000,AG38+MID(AG$6,FIND("V",AG$6)+1,256)/10000)</f>
        <v>2.0008</v>
      </c>
      <c r="BC38" s="235">
        <f>IF(AH38="  ",0+MID(AH$6,FIND("V",AH$6)+1,256)/10000,AH38+MID(AH$6,FIND("V",AH$6)+1,256)/10000)</f>
        <v>0.0009</v>
      </c>
      <c r="BD38" s="235">
        <f>IF(AI38="  ",0+MID(AI$6,FIND("V",AI$6)+1,256)/10000,AI38+MID(AI$6,FIND("V",AI$6)+1,256)/10000)</f>
        <v>0.001</v>
      </c>
      <c r="BE38" s="233"/>
      <c r="BF38" s="233"/>
      <c r="BG38" s="233"/>
      <c r="BH38" s="233"/>
      <c r="BI38" s="3">
        <f>(LARGE(Z$7:Z$126,1)-Z38)/2+1</f>
        <v>8</v>
      </c>
      <c r="BJ38" s="3">
        <f>(LARGE(AA$7:AA$126,1)-AA38)/2+1</f>
        <v>11</v>
      </c>
      <c r="BK38" s="3">
        <f>(LARGE(AB$7:AB$126,1)-AB38)/2+1</f>
        <v>12</v>
      </c>
      <c r="BL38" s="3">
        <f>(LARGE(AC$7:AC$126,1)-AC38)/2+1</f>
        <v>13</v>
      </c>
      <c r="BM38" s="3">
        <f>(LARGE(AD$7:AD$126,1)-AD38)/2+1</f>
        <v>18</v>
      </c>
      <c r="BN38" s="3">
        <f>(LARGE(AE$7:AE$126,1)-AE38)/2+1</f>
        <v>5</v>
      </c>
      <c r="BO38" s="3" t="e">
        <f>(LARGE(AF$7:AF$126,1)-AF38)/2+1</f>
        <v>#VALUE!</v>
      </c>
      <c r="BP38" s="3">
        <f>(LARGE(AG$7:AG$126,1)-AG38)/2+1</f>
        <v>13</v>
      </c>
      <c r="BQ38" s="3" t="e">
        <f>(LARGE(AH$7:AH$126,1)-AH38)/2+1</f>
        <v>#NUM!</v>
      </c>
      <c r="BR38" s="3" t="e">
        <f>(LARGE(AI$7:AI$126,1)-AI38)/2+1</f>
        <v>#NUM!</v>
      </c>
    </row>
    <row r="39" ht="12.75" customHeight="1" spans="1:70">
      <c r="A39" s="139">
        <f>IF(R39&gt;0,IF(Q39="Viru SK",RANK(B39,B$7:B$126,1)-COUNTIF((Q$7:Q$126),"&lt;&gt;Viru SK"),""),"")</f>
        <v>24</v>
      </c>
      <c r="B39" s="140">
        <f>IF((Q39="Viru SK"),U39,U39-1000)</f>
        <v>33</v>
      </c>
      <c r="C39" s="141">
        <f>IF(R39&gt;0,IF(P39="t",RANK(D39,D$7:D$126,1)-COUNTBLANK(P$7:P$126),""),"")</f>
        <v>15</v>
      </c>
      <c r="D39" s="142">
        <f>IF((P39="t"),U39,U39-1000)</f>
        <v>33</v>
      </c>
      <c r="E39" s="143">
        <f>IF(R39&gt;0,IF(N39="m",RANK(F39,F$7:F$126,1)-COUNTBLANK(N$7:N$126),""),"")</f>
        <v>27</v>
      </c>
      <c r="F39" s="144">
        <f>IF((N39="m"),U39,U39-1000)</f>
        <v>33</v>
      </c>
      <c r="G39" s="145" t="str">
        <f>IF(R39&gt;0,IF(M39="n",RANK(H39,H$7:H$126,1)-COUNTBLANK(M$7:M$126),""),"")</f>
        <v/>
      </c>
      <c r="H39" s="144">
        <f>IF((M39="n"),U39,U39-1000)</f>
        <v>-967</v>
      </c>
      <c r="I39" s="160" t="str">
        <f>IF(R39&gt;0,IF(O39="j",RANK(J39,J$7:J$126,1)-COUNTBLANK(O$7:O$126),""),"")</f>
        <v/>
      </c>
      <c r="J39" s="161">
        <f>IF((O39="j"),U39,U39-1000)</f>
        <v>-967</v>
      </c>
      <c r="K39" s="162">
        <f>IF(R39&gt;0,RANK(U39,U$7:U$126,1),"")</f>
        <v>33</v>
      </c>
      <c r="L39" s="163" t="s">
        <v>229</v>
      </c>
      <c r="M39" s="164"/>
      <c r="N39" s="165" t="str">
        <f>IF(M39="","m","")</f>
        <v>m</v>
      </c>
      <c r="O39" s="166"/>
      <c r="P39" s="167" t="s">
        <v>196</v>
      </c>
      <c r="Q39" s="192" t="s">
        <v>171</v>
      </c>
      <c r="R39" s="154">
        <f>(IF(COUNT(Z39,AA39,AB39,AC39,AD39,AE39,AF39,AG39,AH39,AI39)&lt;10,SUM(Z39,AA39,AB39,AC39,AD39,AE39,AF39,AG39,AH39,AI39),SUM(LARGE((Z39,AA39,AB39,AC39,AD39,AE39,AF39,AG39,AH39,AI39),{1;2;3;4;5;6;7;8;9}))))</f>
        <v>38</v>
      </c>
      <c r="S39" s="193" t="str">
        <f>INDEX(ETAPP!B$1:B$32,MATCH(COUNTIF(BI39:BR39,1),ETAPP!A$1:A$32,0))&amp;INDEX(ETAPP!B$1:B$32,MATCH(COUNTIF(BI39:BR39,2),ETAPP!A$1:A$32,0))&amp;INDEX(ETAPP!B$1:B$32,MATCH(COUNTIF(BI39:BR39,3),ETAPP!A$1:A$32,0))&amp;INDEX(ETAPP!B$1:B$32,MATCH(COUNTIF(BI39:BR39,4),ETAPP!A$1:A$32,0))&amp;INDEX(ETAPP!B$1:B$32,MATCH(COUNTIF(BI39:BR39,5),ETAPP!A$1:A$32,0))&amp;INDEX(ETAPP!B$1:B$32,MATCH(COUNTIF(BI39:BR39,6),ETAPP!A$1:A$32,0))&amp;INDEX(ETAPP!B$1:B$32,MATCH(COUNTIF(BI39:BR39,7),ETAPP!A$1:A$32,0))&amp;INDEX(ETAPP!B$1:B$32,MATCH(COUNTIF(BI39:BR39,8),ETAPP!A$1:A$32,0))&amp;INDEX(ETAPP!B$1:B$32,MATCH(COUNTIF(BI39:BR39,9),ETAPP!A$1:A$32,0))&amp;INDEX(ETAPP!B$1:B$32,MATCH(COUNTIF(BI39:BR39,10),ETAPP!A$1:A$32,0))&amp;INDEX(ETAPP!B$1:B$32,MATCH(COUNTIF(BI39:BR39,11),ETAPP!A$1:A$32,0))&amp;INDEX(ETAPP!B$1:B$32,MATCH(COUNTIF(BI39:BR39,12),ETAPP!A$1:A$32,0))&amp;INDEX(ETAPP!B$1:B$32,MATCH(COUNTIF(BI39:BR39,13),ETAPP!A$1:A$32,0))&amp;INDEX(ETAPP!B$1:B$32,MATCH(COUNTIF(BI39:BR39,14),ETAPP!A$1:A$32,0))&amp;INDEX(ETAPP!B$1:B$32,MATCH(COUNTIF(BI39:BR39,15),ETAPP!A$1:A$32,0))&amp;INDEX(ETAPP!B$1:B$32,MATCH(COUNTIF(BI39:BR39,16),ETAPP!A$1:A$32,0))&amp;INDEX(ETAPP!B$1:B$32,MATCH(COUNTIF(BI39:BR39,17),ETAPP!A$1:A$32,0))&amp;INDEX(ETAPP!B$1:B$32,MATCH(COUNTIF(BI39:BR39,18),ETAPP!A$1:A$32,0))&amp;INDEX(ETAPP!B$1:B$32,MATCH(COUNTIF(BI39:BR39,19),ETAPP!A$1:A$32,0))&amp;INDEX(ETAPP!B$1:B$32,MATCH(COUNTIF(BI39:BR39,20),ETAPP!A$1:A$32,0))&amp;INDEX(ETAPP!B$1:B$32,MATCH(COUNTIF(BI39:BR39,21),ETAPP!A$1:A$32,0))</f>
        <v>0A0000000000000000000</v>
      </c>
      <c r="T39" s="193" t="str">
        <f>TEXT(R39,"000,0")&amp;"-"&amp;S39</f>
        <v>038,0-0A0000000000000000000</v>
      </c>
      <c r="U39" s="193">
        <f>COUNTIF(T$7:T$126,"&gt;="&amp;T39)</f>
        <v>33</v>
      </c>
      <c r="V39" s="193">
        <f>COUNTIF(L$7:L$126,"&gt;="&amp;L39)</f>
        <v>75</v>
      </c>
      <c r="W39" s="193" t="str">
        <f>TEXT(R39,"000,0")&amp;"-"&amp;S39&amp;"-"&amp;TEXT(V39,"000")</f>
        <v>038,0-0A0000000000000000000-075</v>
      </c>
      <c r="X39" s="193">
        <f>COUNTIF(W$7:W$126,"&gt;="&amp;W39)</f>
        <v>33</v>
      </c>
      <c r="Y39" s="201">
        <f>RANK(X39,X$7:X$126,0)</f>
        <v>88</v>
      </c>
      <c r="Z39" s="202" t="str">
        <f>IFERROR(INDEX('V1'!C$300:C$400,MATCH("*"&amp;L39&amp;"*",'V1'!B$300:B$400,0)),"  ")</f>
        <v>  </v>
      </c>
      <c r="AA39" s="202" t="str">
        <f>IFERROR(INDEX('V2'!C$300:C$400,MATCH("*"&amp;L39&amp;"*",'V2'!B$300:B$400,0)),"  ")</f>
        <v>  </v>
      </c>
      <c r="AB39" s="202" t="str">
        <f>IFERROR(INDEX('V3'!C$300:C$400,MATCH("*"&amp;L39&amp;"*",'V3'!B$300:B$400,0)),"  ")</f>
        <v>  </v>
      </c>
      <c r="AC39" s="202" t="str">
        <f>IFERROR(INDEX('V4'!C$300:C$400,MATCH("*"&amp;L39&amp;"*",'V4'!B$300:B$400,0)),"  ")</f>
        <v>  </v>
      </c>
      <c r="AD39" s="202">
        <f>IFERROR(INDEX('V5'!C$300:C$400,MATCH("*"&amp;L39&amp;"*",'V5'!B$300:B$400,0)),"  ")</f>
        <v>38</v>
      </c>
      <c r="AE39" s="202" t="str">
        <f>IFERROR(INDEX('V6'!C$300:C$400,MATCH("*"&amp;L39&amp;"*",'V6'!B$300:B$400,0)),"  ")</f>
        <v>  </v>
      </c>
      <c r="AF39" s="202" t="str">
        <f>IFERROR(INDEX('V7'!C$300:C$400,MATCH("*"&amp;L39&amp;"*",'V7'!B$300:B$400,0)),"  ")</f>
        <v>  </v>
      </c>
      <c r="AG39" s="202" t="str">
        <f>IFERROR(INDEX('V8'!C$300:C$400,MATCH("*"&amp;L39&amp;"*",'V8'!B$300:B$400,0)),"  ")</f>
        <v>  </v>
      </c>
      <c r="AH39" s="202"/>
      <c r="AI39" s="202"/>
      <c r="AJ39" s="222" t="str">
        <f>IF(AN39&gt;(AT$2-1),K39,"")</f>
        <v/>
      </c>
      <c r="AK39" s="223">
        <f>SUM(Z39:AI39)</f>
        <v>38</v>
      </c>
      <c r="AL39" s="224">
        <f>IFERROR("edasi "&amp;RANK(AJ39,AJ$7:AJ$126,1),K39)</f>
        <v>33</v>
      </c>
      <c r="AM39" s="225" t="str">
        <f>IFERROR(INDEX(#REF!,MATCH("*"&amp;L39&amp;"*",#REF!,0)),"  ")</f>
        <v>  </v>
      </c>
      <c r="AN39" s="226">
        <f>COUNTIF(Z39:AI39,"&gt;=0")</f>
        <v>1</v>
      </c>
      <c r="AO39" s="126">
        <f>IFERROR(IF(Z39+1&gt;LARGE(Z$7:Z$126,1)-2*LEN(Z$5),1),0)+IFERROR(IF(AA39+1&gt;LARGE(AA$7:AA$126,1)-2*LEN(AA$5),1),0)+IFERROR(IF(AB39+1&gt;LARGE(AB$7:AB$126,1)-2*LEN(AB$5),1),0)+IFERROR(IF(AC39+1&gt;LARGE(AC$7:AC$126,1)-2*LEN(AC$5),1),0)+IFERROR(IF(AD39+1&gt;LARGE(AD$7:AD$126,1)-2*LEN(AD$5),1),0)+IFERROR(IF(AE39+1&gt;LARGE(AE$7:AE$126,1)-2*LEN(AE$5),1),0)+IFERROR(IF(AF39+1&gt;LARGE(AF$7:AF$126,1)-2*LEN(AF$5),1),0)+IFERROR(IF(AG39+1&gt;LARGE(AG$7:AG$126,1)-2*LEN(AG$5),1),0)+IFERROR(IF(AH39+1&gt;LARGE(AH$7:AH$126,1)-2*LEN(AH$5),1),0)+IFERROR(IF(AI39+1&gt;LARGE(AI$7:AI$126,1)-2*LEN(AI$5),1),0)</f>
        <v>1</v>
      </c>
      <c r="AP39" s="126">
        <f>IF(Z39=0,0,IF(Z39=IFERROR(LARGE(Z$7:Z$126,1),0),1,0))+IF(AA39=0,0,IF(AA39=IFERROR(LARGE(AA$7:AA$126,1),0),1,0))+IF(AB39=0,0,IF(AB39=IFERROR(LARGE(AB$7:AB$126,1),0),1,0))+IF(AC39=0,0,IF(AC39=IFERROR(LARGE(AC$7:AC$126,1),0),1,0))+IF(AD39=0,0,IF(AD39=IFERROR(LARGE(AD$7:AD$126,1),0),1,0))+IF(AE39=0,0,IF(AE39=IFERROR(LARGE(AE$7:AE$126,1),0),1,0))+IF(AF39=0,0,IF(AF39=IFERROR(LARGE(AF$7:AF$126,1),0),1,0))+IF(AG39=0,0,IF(AG39=IFERROR(LARGE(AG$7:AG$126,1),0),1,0))+IF(AH39=0,0,IF(AH39=IFERROR(LARGE(AH$7:AH$126,1),0),1,0))+IF(AI39=0,0,IF(AI39=IFERROR(LARGE(AI$7:AI$126,1),0),1,0))</f>
        <v>0</v>
      </c>
      <c r="AQ39" s="233"/>
      <c r="AR39" s="233"/>
      <c r="AS39" s="233"/>
      <c r="AT39" s="234">
        <f>SMALL(AU39:BD39,AT$3)</f>
        <v>0.0001</v>
      </c>
      <c r="AU39" s="235">
        <f>IF(Z39="  ",0+MID(Z$6,FIND("V",Z$6)+1,256)/10000,Z39+MID(Z$6,FIND("V",Z$6)+1,256)/10000)</f>
        <v>0.0001</v>
      </c>
      <c r="AV39" s="235">
        <f>IF(AA39="  ",0+MID(AA$6,FIND("V",AA$6)+1,256)/10000,AA39+MID(AA$6,FIND("V",AA$6)+1,256)/10000)</f>
        <v>0.0002</v>
      </c>
      <c r="AW39" s="235">
        <f>IF(AB39="  ",0+MID(AB$6,FIND("V",AB$6)+1,256)/10000,AB39+MID(AB$6,FIND("V",AB$6)+1,256)/10000)</f>
        <v>0.0003</v>
      </c>
      <c r="AX39" s="235">
        <f>IF(AC39="  ",0+MID(AC$6,FIND("V",AC$6)+1,256)/10000,AC39+MID(AC$6,FIND("V",AC$6)+1,256)/10000)</f>
        <v>0.0004</v>
      </c>
      <c r="AY39" s="235">
        <f>IF(AD39="  ",0+MID(AD$6,FIND("V",AD$6)+1,256)/10000,AD39+MID(AD$6,FIND("V",AD$6)+1,256)/10000)</f>
        <v>38.0005</v>
      </c>
      <c r="AZ39" s="235">
        <f>IF(AE39="  ",0+MID(AE$6,FIND("V",AE$6)+1,256)/10000,AE39+MID(AE$6,FIND("V",AE$6)+1,256)/10000)</f>
        <v>0.0006</v>
      </c>
      <c r="BA39" s="235">
        <f>IF(AF39="  ",0+MID(AF$6,FIND("V",AF$6)+1,256)/10000,AF39+MID(AF$6,FIND("V",AF$6)+1,256)/10000)</f>
        <v>0.0007</v>
      </c>
      <c r="BB39" s="235">
        <f>IF(AG39="  ",0+MID(AG$6,FIND("V",AG$6)+1,256)/10000,AG39+MID(AG$6,FIND("V",AG$6)+1,256)/10000)</f>
        <v>0.0008</v>
      </c>
      <c r="BC39" s="235">
        <f>IF(AH39="  ",0+MID(AH$6,FIND("V",AH$6)+1,256)/10000,AH39+MID(AH$6,FIND("V",AH$6)+1,256)/10000)</f>
        <v>0.0009</v>
      </c>
      <c r="BD39" s="235">
        <f>IF(AI39="  ",0+MID(AI$6,FIND("V",AI$6)+1,256)/10000,AI39+MID(AI$6,FIND("V",AI$6)+1,256)/10000)</f>
        <v>0.001</v>
      </c>
      <c r="BE39" s="233"/>
      <c r="BF39" s="233"/>
      <c r="BG39" s="233"/>
      <c r="BH39" s="233"/>
      <c r="BI39" s="3" t="e">
        <f>(LARGE(Z$7:Z$126,1)-Z39)/2+1</f>
        <v>#VALUE!</v>
      </c>
      <c r="BJ39" s="3" t="e">
        <f>(LARGE(AA$7:AA$126,1)-AA39)/2+1</f>
        <v>#VALUE!</v>
      </c>
      <c r="BK39" s="3" t="e">
        <f>(LARGE(AB$7:AB$126,1)-AB39)/2+1</f>
        <v>#VALUE!</v>
      </c>
      <c r="BL39" s="3" t="e">
        <f>(LARGE(AC$7:AC$126,1)-AC39)/2+1</f>
        <v>#VALUE!</v>
      </c>
      <c r="BM39" s="3">
        <f>(LARGE(AD$7:AD$126,1)-AD39)/2+1</f>
        <v>2</v>
      </c>
      <c r="BN39" s="3" t="e">
        <f>(LARGE(AE$7:AE$126,1)-AE39)/2+1</f>
        <v>#VALUE!</v>
      </c>
      <c r="BO39" s="3" t="e">
        <f>(LARGE(AF$7:AF$126,1)-AF39)/2+1</f>
        <v>#VALUE!</v>
      </c>
      <c r="BP39" s="3" t="e">
        <f>(LARGE(AG$7:AG$126,1)-AG39)/2+1</f>
        <v>#VALUE!</v>
      </c>
      <c r="BQ39" s="3" t="e">
        <f>(LARGE(AH$7:AH$126,1)-AH39)/2+1</f>
        <v>#NUM!</v>
      </c>
      <c r="BR39" s="3" t="e">
        <f>(LARGE(AI$7:AI$126,1)-AI39)/2+1</f>
        <v>#NUM!</v>
      </c>
    </row>
    <row r="40" ht="12.75" customHeight="1" spans="1:70">
      <c r="A40" s="139">
        <f>IF(R40&gt;0,IF(Q40="Viru SK",RANK(B40,B$7:B$126,1)-COUNTIF((Q$7:Q$126),"&lt;&gt;Viru SK"),""),"")</f>
        <v>25</v>
      </c>
      <c r="B40" s="140">
        <f>IF((Q40="Viru SK"),U40,U40-1000)</f>
        <v>34</v>
      </c>
      <c r="C40" s="141" t="str">
        <f>IF(R40&gt;0,IF(P40="t",RANK(D40,D$7:D$126,1)-COUNTBLANK(P$7:P$126),""),"")</f>
        <v/>
      </c>
      <c r="D40" s="142">
        <f>IF((P40="t"),U40,U40-1000)</f>
        <v>-966</v>
      </c>
      <c r="E40" s="143">
        <f>IF(R40&gt;0,IF(N40="m",RANK(F40,F$7:F$126,1)-COUNTBLANK(N$7:N$126),""),"")</f>
        <v>28</v>
      </c>
      <c r="F40" s="144">
        <f>IF((N40="m"),U40,U40-1000)</f>
        <v>34</v>
      </c>
      <c r="G40" s="145" t="str">
        <f>IF(R40&gt;0,IF(M40="n",RANK(H40,H$7:H$126,1)-COUNTBLANK(M$7:M$126),""),"")</f>
        <v/>
      </c>
      <c r="H40" s="144">
        <f>IF((M40="n"),U40,U40-1000)</f>
        <v>-966</v>
      </c>
      <c r="I40" s="160" t="str">
        <f>IF(R40&gt;0,IF(O40="j",RANK(J40,J$7:J$126,1)-COUNTBLANK(O$7:O$126),""),"")</f>
        <v/>
      </c>
      <c r="J40" s="161">
        <f>IF((O40="j"),U40,U40-1000)</f>
        <v>-966</v>
      </c>
      <c r="K40" s="162">
        <f>IF(R40&gt;0,RANK(U40,U$7:U$126,1),"")</f>
        <v>34</v>
      </c>
      <c r="L40" s="163" t="s">
        <v>230</v>
      </c>
      <c r="M40" s="164"/>
      <c r="N40" s="165" t="str">
        <f>IF(M40="","m","")</f>
        <v>m</v>
      </c>
      <c r="O40" s="166"/>
      <c r="P40" s="167"/>
      <c r="Q40" s="192" t="s">
        <v>171</v>
      </c>
      <c r="R40" s="154">
        <f>(IF(COUNT(Z40,AA40,AB40,AC40,AD40,AE40,AF40,AG40,AH40,AI40)&lt;10,SUM(Z40,AA40,AB40,AC40,AD40,AE40,AF40,AG40,AH40,AI40),SUM(LARGE((Z40,AA40,AB40,AC40,AD40,AE40,AF40,AG40,AH40,AI40),{1;2;3;4;5;6;7;8;9}))))</f>
        <v>34</v>
      </c>
      <c r="S40" s="193" t="str">
        <f>INDEX(ETAPP!B$1:B$32,MATCH(COUNTIF(BI40:BR40,1),ETAPP!A$1:A$32,0))&amp;INDEX(ETAPP!B$1:B$32,MATCH(COUNTIF(BI40:BR40,2),ETAPP!A$1:A$32,0))&amp;INDEX(ETAPP!B$1:B$32,MATCH(COUNTIF(BI40:BR40,3),ETAPP!A$1:A$32,0))&amp;INDEX(ETAPP!B$1:B$32,MATCH(COUNTIF(BI40:BR40,4),ETAPP!A$1:A$32,0))&amp;INDEX(ETAPP!B$1:B$32,MATCH(COUNTIF(BI40:BR40,5),ETAPP!A$1:A$32,0))&amp;INDEX(ETAPP!B$1:B$32,MATCH(COUNTIF(BI40:BR40,6),ETAPP!A$1:A$32,0))&amp;INDEX(ETAPP!B$1:B$32,MATCH(COUNTIF(BI40:BR40,7),ETAPP!A$1:A$32,0))&amp;INDEX(ETAPP!B$1:B$32,MATCH(COUNTIF(BI40:BR40,8),ETAPP!A$1:A$32,0))&amp;INDEX(ETAPP!B$1:B$32,MATCH(COUNTIF(BI40:BR40,9),ETAPP!A$1:A$32,0))&amp;INDEX(ETAPP!B$1:B$32,MATCH(COUNTIF(BI40:BR40,10),ETAPP!A$1:A$32,0))&amp;INDEX(ETAPP!B$1:B$32,MATCH(COUNTIF(BI40:BR40,11),ETAPP!A$1:A$32,0))&amp;INDEX(ETAPP!B$1:B$32,MATCH(COUNTIF(BI40:BR40,12),ETAPP!A$1:A$32,0))&amp;INDEX(ETAPP!B$1:B$32,MATCH(COUNTIF(BI40:BR40,13),ETAPP!A$1:A$32,0))&amp;INDEX(ETAPP!B$1:B$32,MATCH(COUNTIF(BI40:BR40,14),ETAPP!A$1:A$32,0))&amp;INDEX(ETAPP!B$1:B$32,MATCH(COUNTIF(BI40:BR40,15),ETAPP!A$1:A$32,0))&amp;INDEX(ETAPP!B$1:B$32,MATCH(COUNTIF(BI40:BR40,16),ETAPP!A$1:A$32,0))&amp;INDEX(ETAPP!B$1:B$32,MATCH(COUNTIF(BI40:BR40,17),ETAPP!A$1:A$32,0))&amp;INDEX(ETAPP!B$1:B$32,MATCH(COUNTIF(BI40:BR40,18),ETAPP!A$1:A$32,0))&amp;INDEX(ETAPP!B$1:B$32,MATCH(COUNTIF(BI40:BR40,19),ETAPP!A$1:A$32,0))&amp;INDEX(ETAPP!B$1:B$32,MATCH(COUNTIF(BI40:BR40,20),ETAPP!A$1:A$32,0))&amp;INDEX(ETAPP!B$1:B$32,MATCH(COUNTIF(BI40:BR40,21),ETAPP!A$1:A$32,0))</f>
        <v>00A00A000000A0A000000</v>
      </c>
      <c r="T40" s="193" t="str">
        <f>TEXT(R40,"000,0")&amp;"-"&amp;S40</f>
        <v>034,0-00A00A000000A0A000000</v>
      </c>
      <c r="U40" s="193">
        <f>COUNTIF(T$7:T$126,"&gt;="&amp;T40)</f>
        <v>34</v>
      </c>
      <c r="V40" s="193">
        <f>COUNTIF(L$7:L$126,"&gt;="&amp;L40)</f>
        <v>103</v>
      </c>
      <c r="W40" s="193" t="str">
        <f>TEXT(R40,"000,0")&amp;"-"&amp;S40&amp;"-"&amp;TEXT(V40,"000")</f>
        <v>034,0-00A00A000000A0A000000-103</v>
      </c>
      <c r="X40" s="193">
        <f>COUNTIF(W$7:W$126,"&gt;="&amp;W40)</f>
        <v>34</v>
      </c>
      <c r="Y40" s="201">
        <f>RANK(X40,X$7:X$126,0)</f>
        <v>87</v>
      </c>
      <c r="Z40" s="202">
        <f>IFERROR(INDEX('V1'!C$300:C$400,MATCH("*"&amp;L40&amp;"*",'V1'!B$300:B$400,0)),"  ")</f>
        <v>8</v>
      </c>
      <c r="AA40" s="202">
        <f>IFERROR(INDEX('V2'!C$300:C$400,MATCH("*"&amp;L40&amp;"*",'V2'!B$300:B$400,0)),"  ")</f>
        <v>24</v>
      </c>
      <c r="AB40" s="202">
        <f>IFERROR(INDEX('V3'!C$300:C$400,MATCH("*"&amp;L40&amp;"*",'V3'!B$300:B$400,0)),"  ")</f>
        <v>2</v>
      </c>
      <c r="AC40" s="202">
        <f>IFERROR(INDEX('V4'!C$300:C$400,MATCH("*"&amp;L40&amp;"*",'V4'!B$300:B$400,0)),"  ")</f>
        <v>0</v>
      </c>
      <c r="AD40" s="202" t="str">
        <f>IFERROR(INDEX('V5'!C$300:C$400,MATCH("*"&amp;L40&amp;"*",'V5'!B$300:B$400,0)),"  ")</f>
        <v>  </v>
      </c>
      <c r="AE40" s="202" t="str">
        <f>IFERROR(INDEX('V6'!C$300:C$400,MATCH("*"&amp;L40&amp;"*",'V6'!B$300:B$400,0)),"  ")</f>
        <v>  </v>
      </c>
      <c r="AF40" s="202" t="str">
        <f>IFERROR(INDEX('V7'!C$300:C$400,MATCH("*"&amp;L40&amp;"*",'V7'!B$300:B$400,0)),"  ")</f>
        <v>  </v>
      </c>
      <c r="AG40" s="202" t="str">
        <f>IFERROR(INDEX('V8'!C$300:C$400,MATCH("*"&amp;L40&amp;"*",'V8'!B$300:B$400,0)),"  ")</f>
        <v>  </v>
      </c>
      <c r="AH40" s="202"/>
      <c r="AI40" s="202"/>
      <c r="AJ40" s="222">
        <f>IF(AN40&gt;(AT$2-1),K40,"")</f>
        <v>34</v>
      </c>
      <c r="AK40" s="223">
        <f>SUM(Z40:AI40)</f>
        <v>34</v>
      </c>
      <c r="AL40" s="224" t="str">
        <f>IFERROR("edasi "&amp;RANK(AJ40,AJ$7:AJ$126,1),K40)</f>
        <v>edasi 32</v>
      </c>
      <c r="AM40" s="225" t="str">
        <f>IFERROR(INDEX(#REF!,MATCH("*"&amp;L40&amp;"*",#REF!,0)),"  ")</f>
        <v>  </v>
      </c>
      <c r="AN40" s="226">
        <f>COUNTIF(Z40:AI40,"&gt;=0")</f>
        <v>4</v>
      </c>
      <c r="AO40" s="126">
        <f>IFERROR(IF(Z40+1&gt;LARGE(Z$7:Z$126,1)-2*LEN(Z$5),1),0)+IFERROR(IF(AA40+1&gt;LARGE(AA$7:AA$126,1)-2*LEN(AA$5),1),0)+IFERROR(IF(AB40+1&gt;LARGE(AB$7:AB$126,1)-2*LEN(AB$5),1),0)+IFERROR(IF(AC40+1&gt;LARGE(AC$7:AC$126,1)-2*LEN(AC$5),1),0)+IFERROR(IF(AD40+1&gt;LARGE(AD$7:AD$126,1)-2*LEN(AD$5),1),0)+IFERROR(IF(AE40+1&gt;LARGE(AE$7:AE$126,1)-2*LEN(AE$5),1),0)+IFERROR(IF(AF40+1&gt;LARGE(AF$7:AF$126,1)-2*LEN(AF$5),1),0)+IFERROR(IF(AG40+1&gt;LARGE(AG$7:AG$126,1)-2*LEN(AG$5),1),0)+IFERROR(IF(AH40+1&gt;LARGE(AH$7:AH$126,1)-2*LEN(AH$5),1),0)+IFERROR(IF(AI40+1&gt;LARGE(AI$7:AI$126,1)-2*LEN(AI$5),1),0)</f>
        <v>1</v>
      </c>
      <c r="AP40" s="126">
        <f>IF(Z40=0,0,IF(Z40=IFERROR(LARGE(Z$7:Z$126,1),0),1,0))+IF(AA40=0,0,IF(AA40=IFERROR(LARGE(AA$7:AA$126,1),0),1,0))+IF(AB40=0,0,IF(AB40=IFERROR(LARGE(AB$7:AB$126,1),0),1,0))+IF(AC40=0,0,IF(AC40=IFERROR(LARGE(AC$7:AC$126,1),0),1,0))+IF(AD40=0,0,IF(AD40=IFERROR(LARGE(AD$7:AD$126,1),0),1,0))+IF(AE40=0,0,IF(AE40=IFERROR(LARGE(AE$7:AE$126,1),0),1,0))+IF(AF40=0,0,IF(AF40=IFERROR(LARGE(AF$7:AF$126,1),0),1,0))+IF(AG40=0,0,IF(AG40=IFERROR(LARGE(AG$7:AG$126,1),0),1,0))+IF(AH40=0,0,IF(AH40=IFERROR(LARGE(AH$7:AH$126,1),0),1,0))+IF(AI40=0,0,IF(AI40=IFERROR(LARGE(AI$7:AI$126,1),0),1,0))</f>
        <v>0</v>
      </c>
      <c r="AQ40" s="233"/>
      <c r="AR40" s="233"/>
      <c r="AS40" s="233"/>
      <c r="AT40" s="234">
        <f>SMALL(AU40:BD40,AT$3)</f>
        <v>0.0004</v>
      </c>
      <c r="AU40" s="235">
        <f>IF(Z40="  ",0+MID(Z$6,FIND("V",Z$6)+1,256)/10000,Z40+MID(Z$6,FIND("V",Z$6)+1,256)/10000)</f>
        <v>8.0001</v>
      </c>
      <c r="AV40" s="235">
        <f>IF(AA40="  ",0+MID(AA$6,FIND("V",AA$6)+1,256)/10000,AA40+MID(AA$6,FIND("V",AA$6)+1,256)/10000)</f>
        <v>24.0002</v>
      </c>
      <c r="AW40" s="235">
        <f>IF(AB40="  ",0+MID(AB$6,FIND("V",AB$6)+1,256)/10000,AB40+MID(AB$6,FIND("V",AB$6)+1,256)/10000)</f>
        <v>2.0003</v>
      </c>
      <c r="AX40" s="235">
        <f>IF(AC40="  ",0+MID(AC$6,FIND("V",AC$6)+1,256)/10000,AC40+MID(AC$6,FIND("V",AC$6)+1,256)/10000)</f>
        <v>0.0004</v>
      </c>
      <c r="AY40" s="235">
        <f>IF(AD40="  ",0+MID(AD$6,FIND("V",AD$6)+1,256)/10000,AD40+MID(AD$6,FIND("V",AD$6)+1,256)/10000)</f>
        <v>0.0005</v>
      </c>
      <c r="AZ40" s="235">
        <f>IF(AE40="  ",0+MID(AE$6,FIND("V",AE$6)+1,256)/10000,AE40+MID(AE$6,FIND("V",AE$6)+1,256)/10000)</f>
        <v>0.0006</v>
      </c>
      <c r="BA40" s="235">
        <f>IF(AF40="  ",0+MID(AF$6,FIND("V",AF$6)+1,256)/10000,AF40+MID(AF$6,FIND("V",AF$6)+1,256)/10000)</f>
        <v>0.0007</v>
      </c>
      <c r="BB40" s="235">
        <f>IF(AG40="  ",0+MID(AG$6,FIND("V",AG$6)+1,256)/10000,AG40+MID(AG$6,FIND("V",AG$6)+1,256)/10000)</f>
        <v>0.0008</v>
      </c>
      <c r="BC40" s="235">
        <f>IF(AH40="  ",0+MID(AH$6,FIND("V",AH$6)+1,256)/10000,AH40+MID(AH$6,FIND("V",AH$6)+1,256)/10000)</f>
        <v>0.0009</v>
      </c>
      <c r="BD40" s="235">
        <f>IF(AI40="  ",0+MID(AI$6,FIND("V",AI$6)+1,256)/10000,AI40+MID(AI$6,FIND("V",AI$6)+1,256)/10000)</f>
        <v>0.001</v>
      </c>
      <c r="BE40" s="233"/>
      <c r="BF40" s="233"/>
      <c r="BG40" s="233"/>
      <c r="BH40" s="233"/>
      <c r="BI40" s="3">
        <f>(LARGE(Z$7:Z$126,1)-Z40)/2+1</f>
        <v>6</v>
      </c>
      <c r="BJ40" s="3">
        <f>(LARGE(AA$7:AA$126,1)-AA40)/2+1</f>
        <v>3</v>
      </c>
      <c r="BK40" s="3">
        <f>(LARGE(AB$7:AB$126,1)-AB40)/2+1</f>
        <v>13</v>
      </c>
      <c r="BL40" s="3">
        <f>(LARGE(AC$7:AC$126,1)-AC40)/2+1</f>
        <v>15</v>
      </c>
      <c r="BM40" s="3" t="e">
        <f>(LARGE(AD$7:AD$126,1)-AD40)/2+1</f>
        <v>#VALUE!</v>
      </c>
      <c r="BN40" s="3" t="e">
        <f>(LARGE(AE$7:AE$126,1)-AE40)/2+1</f>
        <v>#VALUE!</v>
      </c>
      <c r="BO40" s="3" t="e">
        <f>(LARGE(AF$7:AF$126,1)-AF40)/2+1</f>
        <v>#VALUE!</v>
      </c>
      <c r="BP40" s="3" t="e">
        <f>(LARGE(AG$7:AG$126,1)-AG40)/2+1</f>
        <v>#VALUE!</v>
      </c>
      <c r="BQ40" s="3" t="e">
        <f>(LARGE(AH$7:AH$126,1)-AH40)/2+1</f>
        <v>#NUM!</v>
      </c>
      <c r="BR40" s="3" t="e">
        <f>(LARGE(AI$7:AI$126,1)-AI40)/2+1</f>
        <v>#NUM!</v>
      </c>
    </row>
    <row r="41" ht="12.75" customHeight="1" spans="1:70">
      <c r="A41" s="139">
        <f>IF(R41&gt;0,IF(Q41="Viru SK",RANK(B41,B$7:B$126,1)-COUNTIF((Q$7:Q$126),"&lt;&gt;Viru SK"),""),"")</f>
        <v>26</v>
      </c>
      <c r="B41" s="140">
        <f>IF((Q41="Viru SK"),U41,U41-1000)</f>
        <v>35</v>
      </c>
      <c r="C41" s="141">
        <f>IF(R41&gt;0,IF(P41="t",RANK(D41,D$7:D$126,1)-COUNTBLANK(P$7:P$126),""),"")</f>
        <v>16</v>
      </c>
      <c r="D41" s="142">
        <f>IF((P41="t"),U41,U41-1000)</f>
        <v>35</v>
      </c>
      <c r="E41" s="143">
        <f>IF(R41&gt;0,IF(N41="m",RANK(F41,F$7:F$126,1)-COUNTBLANK(N$7:N$126),""),"")</f>
        <v>29</v>
      </c>
      <c r="F41" s="144">
        <f>IF((N41="m"),U41,U41-1000)</f>
        <v>35</v>
      </c>
      <c r="G41" s="145" t="str">
        <f>IF(R41&gt;0,IF(M41="n",RANK(H41,H$7:H$126,1)-COUNTBLANK(M$7:M$126),""),"")</f>
        <v/>
      </c>
      <c r="H41" s="144">
        <f>IF((M41="n"),U41,U41-1000)</f>
        <v>-965</v>
      </c>
      <c r="I41" s="160" t="str">
        <f>IF(R41&gt;0,IF(O41="j",RANK(J41,J$7:J$126,1)-COUNTBLANK(O$7:O$126),""),"")</f>
        <v/>
      </c>
      <c r="J41" s="161">
        <f>IF((O41="j"),U41,U41-1000)</f>
        <v>-965</v>
      </c>
      <c r="K41" s="162">
        <f>IF(R41&gt;0,RANK(U41,U$7:U$126,1),"")</f>
        <v>35</v>
      </c>
      <c r="L41" s="174" t="s">
        <v>231</v>
      </c>
      <c r="M41" s="164"/>
      <c r="N41" s="165" t="s">
        <v>193</v>
      </c>
      <c r="O41" s="166"/>
      <c r="P41" s="167" t="s">
        <v>196</v>
      </c>
      <c r="Q41" s="192" t="s">
        <v>171</v>
      </c>
      <c r="R41" s="154">
        <f>(IF(COUNT(Z41,AA41,AB41,AC41,AD41,AE41,AF41,AG41,AH41,AI41)&lt;10,SUM(Z41,AA41,AB41,AC41,AD41,AE41,AF41,AG41,AH41,AI41),SUM(LARGE((Z41,AA41,AB41,AC41,AD41,AE41,AF41,AG41,AH41,AI41),{1;2;3;4;5;6;7;8;9}))))</f>
        <v>34</v>
      </c>
      <c r="S41" s="193" t="str">
        <f>INDEX(ETAPP!B$1:B$32,MATCH(COUNTIF(BI41:BR41,1),ETAPP!A$1:A$32,0))&amp;INDEX(ETAPP!B$1:B$32,MATCH(COUNTIF(BI41:BR41,2),ETAPP!A$1:A$32,0))&amp;INDEX(ETAPP!B$1:B$32,MATCH(COUNTIF(BI41:BR41,3),ETAPP!A$1:A$32,0))&amp;INDEX(ETAPP!B$1:B$32,MATCH(COUNTIF(BI41:BR41,4),ETAPP!A$1:A$32,0))&amp;INDEX(ETAPP!B$1:B$32,MATCH(COUNTIF(BI41:BR41,5),ETAPP!A$1:A$32,0))&amp;INDEX(ETAPP!B$1:B$32,MATCH(COUNTIF(BI41:BR41,6),ETAPP!A$1:A$32,0))&amp;INDEX(ETAPP!B$1:B$32,MATCH(COUNTIF(BI41:BR41,7),ETAPP!A$1:A$32,0))&amp;INDEX(ETAPP!B$1:B$32,MATCH(COUNTIF(BI41:BR41,8),ETAPP!A$1:A$32,0))&amp;INDEX(ETAPP!B$1:B$32,MATCH(COUNTIF(BI41:BR41,9),ETAPP!A$1:A$32,0))&amp;INDEX(ETAPP!B$1:B$32,MATCH(COUNTIF(BI41:BR41,10),ETAPP!A$1:A$32,0))&amp;INDEX(ETAPP!B$1:B$32,MATCH(COUNTIF(BI41:BR41,11),ETAPP!A$1:A$32,0))&amp;INDEX(ETAPP!B$1:B$32,MATCH(COUNTIF(BI41:BR41,12),ETAPP!A$1:A$32,0))&amp;INDEX(ETAPP!B$1:B$32,MATCH(COUNTIF(BI41:BR41,13),ETAPP!A$1:A$32,0))&amp;INDEX(ETAPP!B$1:B$32,MATCH(COUNTIF(BI41:BR41,14),ETAPP!A$1:A$32,0))&amp;INDEX(ETAPP!B$1:B$32,MATCH(COUNTIF(BI41:BR41,15),ETAPP!A$1:A$32,0))&amp;INDEX(ETAPP!B$1:B$32,MATCH(COUNTIF(BI41:BR41,16),ETAPP!A$1:A$32,0))&amp;INDEX(ETAPP!B$1:B$32,MATCH(COUNTIF(BI41:BR41,17),ETAPP!A$1:A$32,0))&amp;INDEX(ETAPP!B$1:B$32,MATCH(COUNTIF(BI41:BR41,18),ETAPP!A$1:A$32,0))&amp;INDEX(ETAPP!B$1:B$32,MATCH(COUNTIF(BI41:BR41,19),ETAPP!A$1:A$32,0))&amp;INDEX(ETAPP!B$1:B$32,MATCH(COUNTIF(BI41:BR41,20),ETAPP!A$1:A$32,0))&amp;INDEX(ETAPP!B$1:B$32,MATCH(COUNTIF(BI41:BR41,21),ETAPP!A$1:A$32,0))</f>
        <v>000000000BA0AA0000A00</v>
      </c>
      <c r="T41" s="193" t="str">
        <f>TEXT(R41,"000,0")&amp;"-"&amp;S41</f>
        <v>034,0-000000000BA0AA0000A00</v>
      </c>
      <c r="U41" s="193">
        <f>COUNTIF(T$7:T$126,"&gt;="&amp;T41)</f>
        <v>35</v>
      </c>
      <c r="V41" s="193">
        <f>COUNTIF(L$7:L$126,"&gt;="&amp;L41)</f>
        <v>12</v>
      </c>
      <c r="W41" s="193" t="str">
        <f>TEXT(R41,"000,0")&amp;"-"&amp;S41&amp;"-"&amp;TEXT(V41,"000")</f>
        <v>034,0-000000000BA0AA0000A00-012</v>
      </c>
      <c r="X41" s="193">
        <f>COUNTIF(W$7:W$126,"&gt;="&amp;W41)</f>
        <v>35</v>
      </c>
      <c r="Y41" s="201">
        <f>RANK(X41,X$7:X$126,0)</f>
        <v>86</v>
      </c>
      <c r="Z41" s="202" t="str">
        <f>IFERROR(INDEX('V1'!C$300:C$400,MATCH("*"&amp;L41&amp;"*",'V1'!B$300:B$400,0)),"  ")</f>
        <v>  </v>
      </c>
      <c r="AA41" s="202" t="str">
        <f>IFERROR(INDEX('V2'!C$300:C$400,MATCH("*"&amp;L41&amp;"*",'V2'!B$300:B$400,0)),"  ")</f>
        <v>  </v>
      </c>
      <c r="AB41" s="202">
        <f>IFERROR(INDEX('V3'!C$300:C$400,MATCH("*"&amp;L41&amp;"*",'V3'!B$300:B$400,0)),"  ")</f>
        <v>8</v>
      </c>
      <c r="AC41" s="202">
        <f>IFERROR(INDEX('V4'!C$300:C$400,MATCH("*"&amp;L41&amp;"*",'V4'!B$300:B$400,0)),"  ")</f>
        <v>8</v>
      </c>
      <c r="AD41" s="202">
        <f>IFERROR(INDEX('V5'!C$300:C$400,MATCH("*"&amp;L41&amp;"*",'V5'!B$300:B$400,0)),"  ")</f>
        <v>4</v>
      </c>
      <c r="AE41" s="202">
        <f>IFERROR(INDEX('V6'!C$300:C$400,MATCH("*"&amp;L41&amp;"*",'V6'!B$300:B$400,0)),"  ")</f>
        <v>4</v>
      </c>
      <c r="AF41" s="202">
        <f>IFERROR(INDEX('V7'!C$300:C$400,MATCH("*"&amp;L41&amp;"*",'V7'!B$300:B$400,0)),"  ")</f>
        <v>2</v>
      </c>
      <c r="AG41" s="202">
        <f>IFERROR(INDEX('V8'!C$300:C$400,MATCH("*"&amp;L41&amp;"*",'V8'!B$300:B$400,0)),"  ")</f>
        <v>8</v>
      </c>
      <c r="AH41" s="202"/>
      <c r="AI41" s="202"/>
      <c r="AJ41" s="222">
        <f>IF(AN41&gt;(AT$2-1),K41,"")</f>
        <v>35</v>
      </c>
      <c r="AK41" s="223">
        <f>SUM(Z41:AI41)</f>
        <v>34</v>
      </c>
      <c r="AL41" s="224" t="str">
        <f>IFERROR("edasi "&amp;RANK(AJ41,AJ$7:AJ$126,1),K41)</f>
        <v>edasi 33</v>
      </c>
      <c r="AM41" s="225" t="str">
        <f>IFERROR(INDEX(#REF!,MATCH("*"&amp;L41&amp;"*",#REF!,0)),"  ")</f>
        <v>  </v>
      </c>
      <c r="AN41" s="226">
        <f>COUNTIF(Z41:AI41,"&gt;=0")</f>
        <v>6</v>
      </c>
      <c r="AO41" s="126">
        <f>IFERROR(IF(Z41+1&gt;LARGE(Z$7:Z$126,1)-2*LEN(Z$5),1),0)+IFERROR(IF(AA41+1&gt;LARGE(AA$7:AA$126,1)-2*LEN(AA$5),1),0)+IFERROR(IF(AB41+1&gt;LARGE(AB$7:AB$126,1)-2*LEN(AB$5),1),0)+IFERROR(IF(AC41+1&gt;LARGE(AC$7:AC$126,1)-2*LEN(AC$5),1),0)+IFERROR(IF(AD41+1&gt;LARGE(AD$7:AD$126,1)-2*LEN(AD$5),1),0)+IFERROR(IF(AE41+1&gt;LARGE(AE$7:AE$126,1)-2*LEN(AE$5),1),0)+IFERROR(IF(AF41+1&gt;LARGE(AF$7:AF$126,1)-2*LEN(AF$5),1),0)+IFERROR(IF(AG41+1&gt;LARGE(AG$7:AG$126,1)-2*LEN(AG$5),1),0)+IFERROR(IF(AH41+1&gt;LARGE(AH$7:AH$126,1)-2*LEN(AH$5),1),0)+IFERROR(IF(AI41+1&gt;LARGE(AI$7:AI$126,1)-2*LEN(AI$5),1),0)</f>
        <v>0</v>
      </c>
      <c r="AP41" s="126">
        <f>IF(Z41=0,0,IF(Z41=IFERROR(LARGE(Z$7:Z$126,1),0),1,0))+IF(AA41=0,0,IF(AA41=IFERROR(LARGE(AA$7:AA$126,1),0),1,0))+IF(AB41=0,0,IF(AB41=IFERROR(LARGE(AB$7:AB$126,1),0),1,0))+IF(AC41=0,0,IF(AC41=IFERROR(LARGE(AC$7:AC$126,1),0),1,0))+IF(AD41=0,0,IF(AD41=IFERROR(LARGE(AD$7:AD$126,1),0),1,0))+IF(AE41=0,0,IF(AE41=IFERROR(LARGE(AE$7:AE$126,1),0),1,0))+IF(AF41=0,0,IF(AF41=IFERROR(LARGE(AF$7:AF$126,1),0),1,0))+IF(AG41=0,0,IF(AG41=IFERROR(LARGE(AG$7:AG$126,1),0),1,0))+IF(AH41=0,0,IF(AH41=IFERROR(LARGE(AH$7:AH$126,1),0),1,0))+IF(AI41=0,0,IF(AI41=IFERROR(LARGE(AI$7:AI$126,1),0),1,0))</f>
        <v>0</v>
      </c>
      <c r="AQ41" s="233"/>
      <c r="AR41" s="233"/>
      <c r="AS41" s="233"/>
      <c r="AT41" s="234">
        <f>SMALL(AU41:BD41,AT$3)</f>
        <v>0.0001</v>
      </c>
      <c r="AU41" s="235">
        <f>IF(Z41="  ",0+MID(Z$6,FIND("V",Z$6)+1,256)/10000,Z41+MID(Z$6,FIND("V",Z$6)+1,256)/10000)</f>
        <v>0.0001</v>
      </c>
      <c r="AV41" s="235">
        <f>IF(AA41="  ",0+MID(AA$6,FIND("V",AA$6)+1,256)/10000,AA41+MID(AA$6,FIND("V",AA$6)+1,256)/10000)</f>
        <v>0.0002</v>
      </c>
      <c r="AW41" s="235">
        <f>IF(AB41="  ",0+MID(AB$6,FIND("V",AB$6)+1,256)/10000,AB41+MID(AB$6,FIND("V",AB$6)+1,256)/10000)</f>
        <v>8.0003</v>
      </c>
      <c r="AX41" s="235">
        <f>IF(AC41="  ",0+MID(AC$6,FIND("V",AC$6)+1,256)/10000,AC41+MID(AC$6,FIND("V",AC$6)+1,256)/10000)</f>
        <v>8.0004</v>
      </c>
      <c r="AY41" s="235">
        <f>IF(AD41="  ",0+MID(AD$6,FIND("V",AD$6)+1,256)/10000,AD41+MID(AD$6,FIND("V",AD$6)+1,256)/10000)</f>
        <v>4.0005</v>
      </c>
      <c r="AZ41" s="235">
        <f>IF(AE41="  ",0+MID(AE$6,FIND("V",AE$6)+1,256)/10000,AE41+MID(AE$6,FIND("V",AE$6)+1,256)/10000)</f>
        <v>4.0006</v>
      </c>
      <c r="BA41" s="235">
        <f>IF(AF41="  ",0+MID(AF$6,FIND("V",AF$6)+1,256)/10000,AF41+MID(AF$6,FIND("V",AF$6)+1,256)/10000)</f>
        <v>2.0007</v>
      </c>
      <c r="BB41" s="235">
        <f>IF(AG41="  ",0+MID(AG$6,FIND("V",AG$6)+1,256)/10000,AG41+MID(AG$6,FIND("V",AG$6)+1,256)/10000)</f>
        <v>8.0008</v>
      </c>
      <c r="BC41" s="235">
        <f>IF(AH41="  ",0+MID(AH$6,FIND("V",AH$6)+1,256)/10000,AH41+MID(AH$6,FIND("V",AH$6)+1,256)/10000)</f>
        <v>0.0009</v>
      </c>
      <c r="BD41" s="235">
        <f>IF(AI41="  ",0+MID(AI$6,FIND("V",AI$6)+1,256)/10000,AI41+MID(AI$6,FIND("V",AI$6)+1,256)/10000)</f>
        <v>0.001</v>
      </c>
      <c r="BE41" s="233"/>
      <c r="BF41" s="233"/>
      <c r="BG41" s="233"/>
      <c r="BH41" s="233"/>
      <c r="BI41" s="3" t="e">
        <f>(LARGE(Z$7:Z$126,1)-Z41)/2+1</f>
        <v>#VALUE!</v>
      </c>
      <c r="BJ41" s="3" t="e">
        <f>(LARGE(AA$7:AA$126,1)-AA41)/2+1</f>
        <v>#VALUE!</v>
      </c>
      <c r="BK41" s="3">
        <f>(LARGE(AB$7:AB$126,1)-AB41)/2+1</f>
        <v>10</v>
      </c>
      <c r="BL41" s="3">
        <f>(LARGE(AC$7:AC$126,1)-AC41)/2+1</f>
        <v>11</v>
      </c>
      <c r="BM41" s="3">
        <f>(LARGE(AD$7:AD$126,1)-AD41)/2+1</f>
        <v>19</v>
      </c>
      <c r="BN41" s="3">
        <f>(LARGE(AE$7:AE$126,1)-AE41)/2+1</f>
        <v>13</v>
      </c>
      <c r="BO41" s="3">
        <f>(LARGE(AF$7:AF$126,1)-AF41)/2+1</f>
        <v>14</v>
      </c>
      <c r="BP41" s="3">
        <f>(LARGE(AG$7:AG$126,1)-AG41)/2+1</f>
        <v>10</v>
      </c>
      <c r="BQ41" s="3" t="e">
        <f>(LARGE(AH$7:AH$126,1)-AH41)/2+1</f>
        <v>#NUM!</v>
      </c>
      <c r="BR41" s="3" t="e">
        <f>(LARGE(AI$7:AI$126,1)-AI41)/2+1</f>
        <v>#NUM!</v>
      </c>
    </row>
    <row r="42" ht="12.75" customHeight="1" spans="1:70">
      <c r="A42" s="139" t="str">
        <f>IF(R42&gt;0,IF(Q42="Viru SK",RANK(B42,B$7:B$126,1)-COUNTIF((Q$7:Q$126),"&lt;&gt;Viru SK"),""),"")</f>
        <v/>
      </c>
      <c r="B42" s="140">
        <f>IF((Q42="Viru SK"),U42,U42-1000)</f>
        <v>-964</v>
      </c>
      <c r="C42" s="141" t="str">
        <f>IF(R42&gt;0,IF(P42="t",RANK(D42,D$7:D$126,1)-COUNTBLANK(P$7:P$126),""),"")</f>
        <v/>
      </c>
      <c r="D42" s="142">
        <f>IF((P42="t"),U42,U42-1000)</f>
        <v>-964</v>
      </c>
      <c r="E42" s="143">
        <f>IF(R42&gt;0,IF(N42="m",RANK(F42,F$7:F$126,1)-COUNTBLANK(N$7:N$126),""),"")</f>
        <v>30</v>
      </c>
      <c r="F42" s="144">
        <f>IF((N42="m"),U42,U42-1000)</f>
        <v>36</v>
      </c>
      <c r="G42" s="145" t="str">
        <f>IF(R42&gt;0,IF(M42="n",RANK(H42,H$7:H$126,1)-COUNTBLANK(M$7:M$126),""),"")</f>
        <v/>
      </c>
      <c r="H42" s="144">
        <f>IF((M42="n"),U42,U42-1000)</f>
        <v>-964</v>
      </c>
      <c r="I42" s="160" t="str">
        <f>IF(R42&gt;0,IF(O42="j",RANK(J42,J$7:J$126,1)-COUNTBLANK(O$7:O$126),""),"")</f>
        <v/>
      </c>
      <c r="J42" s="161">
        <f>IF((O42="j"),U42,U42-1000)</f>
        <v>-964</v>
      </c>
      <c r="K42" s="162">
        <f>IF(R42&gt;0,RANK(U42,U$7:U$126,1),"")</f>
        <v>36</v>
      </c>
      <c r="L42" s="163" t="s">
        <v>232</v>
      </c>
      <c r="M42" s="164"/>
      <c r="N42" s="165" t="str">
        <f>IF(M42="","m","")</f>
        <v>m</v>
      </c>
      <c r="O42" s="166"/>
      <c r="P42" s="167"/>
      <c r="Q42" s="192" t="s">
        <v>200</v>
      </c>
      <c r="R42" s="154">
        <f>(IF(COUNT(Z42,AA42,AB42,AC42,AD42,AE42,AF42,AG42,AH42,AI42)&lt;10,SUM(Z42,AA42,AB42,AC42,AD42,AE42,AF42,AG42,AH42,AI42),SUM(LARGE((Z42,AA42,AB42,AC42,AD42,AE42,AF42,AG42,AH42,AI42),{1;2;3;4;5;6;7;8;9}))))</f>
        <v>30</v>
      </c>
      <c r="S42" s="193" t="str">
        <f>INDEX(ETAPP!B$1:B$32,MATCH(COUNTIF(BI42:BR42,1),ETAPP!A$1:A$32,0))&amp;INDEX(ETAPP!B$1:B$32,MATCH(COUNTIF(BI42:BR42,2),ETAPP!A$1:A$32,0))&amp;INDEX(ETAPP!B$1:B$32,MATCH(COUNTIF(BI42:BR42,3),ETAPP!A$1:A$32,0))&amp;INDEX(ETAPP!B$1:B$32,MATCH(COUNTIF(BI42:BR42,4),ETAPP!A$1:A$32,0))&amp;INDEX(ETAPP!B$1:B$32,MATCH(COUNTIF(BI42:BR42,5),ETAPP!A$1:A$32,0))&amp;INDEX(ETAPP!B$1:B$32,MATCH(COUNTIF(BI42:BR42,6),ETAPP!A$1:A$32,0))&amp;INDEX(ETAPP!B$1:B$32,MATCH(COUNTIF(BI42:BR42,7),ETAPP!A$1:A$32,0))&amp;INDEX(ETAPP!B$1:B$32,MATCH(COUNTIF(BI42:BR42,8),ETAPP!A$1:A$32,0))&amp;INDEX(ETAPP!B$1:B$32,MATCH(COUNTIF(BI42:BR42,9),ETAPP!A$1:A$32,0))&amp;INDEX(ETAPP!B$1:B$32,MATCH(COUNTIF(BI42:BR42,10),ETAPP!A$1:A$32,0))&amp;INDEX(ETAPP!B$1:B$32,MATCH(COUNTIF(BI42:BR42,11),ETAPP!A$1:A$32,0))&amp;INDEX(ETAPP!B$1:B$32,MATCH(COUNTIF(BI42:BR42,12),ETAPP!A$1:A$32,0))&amp;INDEX(ETAPP!B$1:B$32,MATCH(COUNTIF(BI42:BR42,13),ETAPP!A$1:A$32,0))&amp;INDEX(ETAPP!B$1:B$32,MATCH(COUNTIF(BI42:BR42,14),ETAPP!A$1:A$32,0))&amp;INDEX(ETAPP!B$1:B$32,MATCH(COUNTIF(BI42:BR42,15),ETAPP!A$1:A$32,0))&amp;INDEX(ETAPP!B$1:B$32,MATCH(COUNTIF(BI42:BR42,16),ETAPP!A$1:A$32,0))&amp;INDEX(ETAPP!B$1:B$32,MATCH(COUNTIF(BI42:BR42,17),ETAPP!A$1:A$32,0))&amp;INDEX(ETAPP!B$1:B$32,MATCH(COUNTIF(BI42:BR42,18),ETAPP!A$1:A$32,0))&amp;INDEX(ETAPP!B$1:B$32,MATCH(COUNTIF(BI42:BR42,19),ETAPP!A$1:A$32,0))&amp;INDEX(ETAPP!B$1:B$32,MATCH(COUNTIF(BI42:BR42,20),ETAPP!A$1:A$32,0))&amp;INDEX(ETAPP!B$1:B$32,MATCH(COUNTIF(BI42:BR42,21),ETAPP!A$1:A$32,0))</f>
        <v>0000A00000AA000000000</v>
      </c>
      <c r="T42" s="193" t="str">
        <f>TEXT(R42,"000,0")&amp;"-"&amp;S42</f>
        <v>030,0-0000A00000AA000000000</v>
      </c>
      <c r="U42" s="193">
        <f>COUNTIF(T$7:T$126,"&gt;="&amp;T42)</f>
        <v>36</v>
      </c>
      <c r="V42" s="193">
        <f>COUNTIF(L$7:L$126,"&gt;="&amp;L42)</f>
        <v>62</v>
      </c>
      <c r="W42" s="193" t="str">
        <f>TEXT(R42,"000,0")&amp;"-"&amp;S42&amp;"-"&amp;TEXT(V42,"000")</f>
        <v>030,0-0000A00000AA000000000-062</v>
      </c>
      <c r="X42" s="193">
        <f>COUNTIF(W$7:W$126,"&gt;="&amp;W42)</f>
        <v>36</v>
      </c>
      <c r="Y42" s="201">
        <f>RANK(X42,X$7:X$126,0)</f>
        <v>85</v>
      </c>
      <c r="Z42" s="202" t="str">
        <f>IFERROR(INDEX('V1'!C$300:C$400,MATCH("*"&amp;L42&amp;"*",'V1'!B$300:B$400,0)),"  ")</f>
        <v>  </v>
      </c>
      <c r="AA42" s="202">
        <f>IFERROR(INDEX('V2'!C$300:C$400,MATCH("*"&amp;L42&amp;"*",'V2'!B$300:B$400,0)),"  ")</f>
        <v>6</v>
      </c>
      <c r="AB42" s="202">
        <f>IFERROR(INDEX('V3'!C$300:C$400,MATCH("*"&amp;L42&amp;"*",'V3'!B$300:B$400,0)),"  ")</f>
        <v>6</v>
      </c>
      <c r="AC42" s="202" t="str">
        <f>IFERROR(INDEX('V4'!C$300:C$400,MATCH("*"&amp;L42&amp;"*",'V4'!B$300:B$400,0)),"  ")</f>
        <v>  </v>
      </c>
      <c r="AD42" s="202" t="str">
        <f>IFERROR(INDEX('V5'!C$300:C$400,MATCH("*"&amp;L42&amp;"*",'V5'!B$300:B$400,0)),"  ")</f>
        <v>  </v>
      </c>
      <c r="AE42" s="202" t="str">
        <f>IFERROR(INDEX('V6'!C$300:C$400,MATCH("*"&amp;L42&amp;"*",'V6'!B$300:B$400,0)),"  ")</f>
        <v>  </v>
      </c>
      <c r="AF42" s="202" t="str">
        <f>IFERROR(INDEX('V7'!C$300:C$400,MATCH("*"&amp;L42&amp;"*",'V7'!B$300:B$400,0)),"  ")</f>
        <v>  </v>
      </c>
      <c r="AG42" s="202">
        <f>IFERROR(INDEX('V8'!C$300:C$400,MATCH("*"&amp;L42&amp;"*",'V8'!B$300:B$400,0)),"  ")</f>
        <v>18</v>
      </c>
      <c r="AH42" s="202"/>
      <c r="AI42" s="202"/>
      <c r="AJ42" s="222">
        <f>IF(AN42&gt;(AT$2-1),K42,"")</f>
        <v>36</v>
      </c>
      <c r="AK42" s="223">
        <f>SUM(Z42:AI42)</f>
        <v>30</v>
      </c>
      <c r="AL42" s="224" t="str">
        <f>IFERROR("edasi "&amp;RANK(AJ42,AJ$7:AJ$126,1),K42)</f>
        <v>edasi 34</v>
      </c>
      <c r="AM42" s="225" t="str">
        <f>IFERROR(INDEX(#REF!,MATCH("*"&amp;L42&amp;"*",#REF!,0)),"  ")</f>
        <v>  </v>
      </c>
      <c r="AN42" s="226">
        <f>COUNTIF(Z42:AI42,"&gt;=0")</f>
        <v>3</v>
      </c>
      <c r="AO42" s="126">
        <f>IFERROR(IF(Z42+1&gt;LARGE(Z$7:Z$126,1)-2*LEN(Z$5),1),0)+IFERROR(IF(AA42+1&gt;LARGE(AA$7:AA$126,1)-2*LEN(AA$5),1),0)+IFERROR(IF(AB42+1&gt;LARGE(AB$7:AB$126,1)-2*LEN(AB$5),1),0)+IFERROR(IF(AC42+1&gt;LARGE(AC$7:AC$126,1)-2*LEN(AC$5),1),0)+IFERROR(IF(AD42+1&gt;LARGE(AD$7:AD$126,1)-2*LEN(AD$5),1),0)+IFERROR(IF(AE42+1&gt;LARGE(AE$7:AE$126,1)-2*LEN(AE$5),1),0)+IFERROR(IF(AF42+1&gt;LARGE(AF$7:AF$126,1)-2*LEN(AF$5),1),0)+IFERROR(IF(AG42+1&gt;LARGE(AG$7:AG$126,1)-2*LEN(AG$5),1),0)+IFERROR(IF(AH42+1&gt;LARGE(AH$7:AH$126,1)-2*LEN(AH$5),1),0)+IFERROR(IF(AI42+1&gt;LARGE(AI$7:AI$126,1)-2*LEN(AI$5),1),0)</f>
        <v>0</v>
      </c>
      <c r="AP42" s="126">
        <f>IF(Z42=0,0,IF(Z42=IFERROR(LARGE(Z$7:Z$126,1),0),1,0))+IF(AA42=0,0,IF(AA42=IFERROR(LARGE(AA$7:AA$126,1),0),1,0))+IF(AB42=0,0,IF(AB42=IFERROR(LARGE(AB$7:AB$126,1),0),1,0))+IF(AC42=0,0,IF(AC42=IFERROR(LARGE(AC$7:AC$126,1),0),1,0))+IF(AD42=0,0,IF(AD42=IFERROR(LARGE(AD$7:AD$126,1),0),1,0))+IF(AE42=0,0,IF(AE42=IFERROR(LARGE(AE$7:AE$126,1),0),1,0))+IF(AF42=0,0,IF(AF42=IFERROR(LARGE(AF$7:AF$126,1),0),1,0))+IF(AG42=0,0,IF(AG42=IFERROR(LARGE(AG$7:AG$126,1),0),1,0))+IF(AH42=0,0,IF(AH42=IFERROR(LARGE(AH$7:AH$126,1),0),1,0))+IF(AI42=0,0,IF(AI42=IFERROR(LARGE(AI$7:AI$126,1),0),1,0))</f>
        <v>0</v>
      </c>
      <c r="AQ42" s="233"/>
      <c r="AR42" s="233"/>
      <c r="AS42" s="233"/>
      <c r="AT42" s="234">
        <f>SMALL(AU42:BD42,AT$3)</f>
        <v>0.0001</v>
      </c>
      <c r="AU42" s="235">
        <f>IF(Z42="  ",0+MID(Z$6,FIND("V",Z$6)+1,256)/10000,Z42+MID(Z$6,FIND("V",Z$6)+1,256)/10000)</f>
        <v>0.0001</v>
      </c>
      <c r="AV42" s="235">
        <f>IF(AA42="  ",0+MID(AA$6,FIND("V",AA$6)+1,256)/10000,AA42+MID(AA$6,FIND("V",AA$6)+1,256)/10000)</f>
        <v>6.0002</v>
      </c>
      <c r="AW42" s="235">
        <f>IF(AB42="  ",0+MID(AB$6,FIND("V",AB$6)+1,256)/10000,AB42+MID(AB$6,FIND("V",AB$6)+1,256)/10000)</f>
        <v>6.0003</v>
      </c>
      <c r="AX42" s="235">
        <f>IF(AC42="  ",0+MID(AC$6,FIND("V",AC$6)+1,256)/10000,AC42+MID(AC$6,FIND("V",AC$6)+1,256)/10000)</f>
        <v>0.0004</v>
      </c>
      <c r="AY42" s="235">
        <f>IF(AD42="  ",0+MID(AD$6,FIND("V",AD$6)+1,256)/10000,AD42+MID(AD$6,FIND("V",AD$6)+1,256)/10000)</f>
        <v>0.0005</v>
      </c>
      <c r="AZ42" s="235">
        <f>IF(AE42="  ",0+MID(AE$6,FIND("V",AE$6)+1,256)/10000,AE42+MID(AE$6,FIND("V",AE$6)+1,256)/10000)</f>
        <v>0.0006</v>
      </c>
      <c r="BA42" s="235">
        <f>IF(AF42="  ",0+MID(AF$6,FIND("V",AF$6)+1,256)/10000,AF42+MID(AF$6,FIND("V",AF$6)+1,256)/10000)</f>
        <v>0.0007</v>
      </c>
      <c r="BB42" s="235">
        <f>IF(AG42="  ",0+MID(AG$6,FIND("V",AG$6)+1,256)/10000,AG42+MID(AG$6,FIND("V",AG$6)+1,256)/10000)</f>
        <v>18.0008</v>
      </c>
      <c r="BC42" s="235">
        <f>IF(AH42="  ",0+MID(AH$6,FIND("V",AH$6)+1,256)/10000,AH42+MID(AH$6,FIND("V",AH$6)+1,256)/10000)</f>
        <v>0.0009</v>
      </c>
      <c r="BD42" s="235">
        <f>IF(AI42="  ",0+MID(AI$6,FIND("V",AI$6)+1,256)/10000,AI42+MID(AI$6,FIND("V",AI$6)+1,256)/10000)</f>
        <v>0.001</v>
      </c>
      <c r="BE42" s="233"/>
      <c r="BF42" s="233"/>
      <c r="BG42" s="233"/>
      <c r="BH42" s="233"/>
      <c r="BI42" s="3" t="e">
        <f>(LARGE(Z$7:Z$126,1)-Z42)/2+1</f>
        <v>#VALUE!</v>
      </c>
      <c r="BJ42" s="3">
        <f>(LARGE(AA$7:AA$126,1)-AA42)/2+1</f>
        <v>12</v>
      </c>
      <c r="BK42" s="3">
        <f>(LARGE(AB$7:AB$126,1)-AB42)/2+1</f>
        <v>11</v>
      </c>
      <c r="BL42" s="3" t="e">
        <f>(LARGE(AC$7:AC$126,1)-AC42)/2+1</f>
        <v>#VALUE!</v>
      </c>
      <c r="BM42" s="3" t="e">
        <f>(LARGE(AD$7:AD$126,1)-AD42)/2+1</f>
        <v>#VALUE!</v>
      </c>
      <c r="BN42" s="3" t="e">
        <f>(LARGE(AE$7:AE$126,1)-AE42)/2+1</f>
        <v>#VALUE!</v>
      </c>
      <c r="BO42" s="3" t="e">
        <f>(LARGE(AF$7:AF$126,1)-AF42)/2+1</f>
        <v>#VALUE!</v>
      </c>
      <c r="BP42" s="3">
        <f>(LARGE(AG$7:AG$126,1)-AG42)/2+1</f>
        <v>5</v>
      </c>
      <c r="BQ42" s="3" t="e">
        <f>(LARGE(AH$7:AH$126,1)-AH42)/2+1</f>
        <v>#NUM!</v>
      </c>
      <c r="BR42" s="3" t="e">
        <f>(LARGE(AI$7:AI$126,1)-AI42)/2+1</f>
        <v>#NUM!</v>
      </c>
    </row>
    <row r="43" ht="12.75" customHeight="1" spans="1:70">
      <c r="A43" s="139">
        <f>IF(R43&gt;0,IF(Q43="Viru SK",RANK(B43,B$7:B$126,1)-COUNTIF((Q$7:Q$126),"&lt;&gt;Viru SK"),""),"")</f>
        <v>27</v>
      </c>
      <c r="B43" s="140">
        <f>IF((Q43="Viru SK"),U43,U43-1000)</f>
        <v>37</v>
      </c>
      <c r="C43" s="141">
        <f>IF(R43&gt;0,IF(P43="t",RANK(D43,D$7:D$126,1)-COUNTBLANK(P$7:P$126),""),"")</f>
        <v>17</v>
      </c>
      <c r="D43" s="142">
        <f>IF((P43="t"),U43,U43-1000)</f>
        <v>37</v>
      </c>
      <c r="E43" s="143">
        <f>IF(R43&gt;0,IF(N43="m",RANK(F43,F$7:F$126,1)-COUNTBLANK(N$7:N$126),""),"")</f>
        <v>31</v>
      </c>
      <c r="F43" s="144">
        <f>IF((N43="m"),U43,U43-1000)</f>
        <v>37</v>
      </c>
      <c r="G43" s="145" t="str">
        <f>IF(R43&gt;0,IF(M43="n",RANK(H43,H$7:H$126,1)-COUNTBLANK(M$7:M$126),""),"")</f>
        <v/>
      </c>
      <c r="H43" s="144">
        <f>IF((M43="n"),U43,U43-1000)</f>
        <v>-963</v>
      </c>
      <c r="I43" s="160" t="str">
        <f>IF(R43&gt;0,IF(O43="j",RANK(J43,J$7:J$126,1)-COUNTBLANK(O$7:O$126),""),"")</f>
        <v/>
      </c>
      <c r="J43" s="161">
        <f>IF((O43="j"),U43,U43-1000)</f>
        <v>-963</v>
      </c>
      <c r="K43" s="162">
        <f>IF(R43&gt;0,RANK(U43,U$7:U$126,1),"")</f>
        <v>37</v>
      </c>
      <c r="L43" s="174" t="s">
        <v>233</v>
      </c>
      <c r="M43" s="164"/>
      <c r="N43" s="165" t="str">
        <f>IF(M43="","m","")</f>
        <v>m</v>
      </c>
      <c r="O43" s="166"/>
      <c r="P43" s="167" t="s">
        <v>196</v>
      </c>
      <c r="Q43" s="192" t="s">
        <v>171</v>
      </c>
      <c r="R43" s="154">
        <f>(IF(COUNT(Z43,AA43,AB43,AC43,AD43,AE43,AF43,AG43,AH43,AI43)&lt;10,SUM(Z43,AA43,AB43,AC43,AD43,AE43,AF43,AG43,AH43,AI43),SUM(LARGE((Z43,AA43,AB43,AC43,AD43,AE43,AF43,AG43,AH43,AI43),{1;2;3;4;5;6;7;8;9}))))</f>
        <v>26</v>
      </c>
      <c r="S43" s="193" t="str">
        <f>INDEX(ETAPP!B$1:B$32,MATCH(COUNTIF(BI43:BR43,1),ETAPP!A$1:A$32,0))&amp;INDEX(ETAPP!B$1:B$32,MATCH(COUNTIF(BI43:BR43,2),ETAPP!A$1:A$32,0))&amp;INDEX(ETAPP!B$1:B$32,MATCH(COUNTIF(BI43:BR43,3),ETAPP!A$1:A$32,0))&amp;INDEX(ETAPP!B$1:B$32,MATCH(COUNTIF(BI43:BR43,4),ETAPP!A$1:A$32,0))&amp;INDEX(ETAPP!B$1:B$32,MATCH(COUNTIF(BI43:BR43,5),ETAPP!A$1:A$32,0))&amp;INDEX(ETAPP!B$1:B$32,MATCH(COUNTIF(BI43:BR43,6),ETAPP!A$1:A$32,0))&amp;INDEX(ETAPP!B$1:B$32,MATCH(COUNTIF(BI43:BR43,7),ETAPP!A$1:A$32,0))&amp;INDEX(ETAPP!B$1:B$32,MATCH(COUNTIF(BI43:BR43,8),ETAPP!A$1:A$32,0))&amp;INDEX(ETAPP!B$1:B$32,MATCH(COUNTIF(BI43:BR43,9),ETAPP!A$1:A$32,0))&amp;INDEX(ETAPP!B$1:B$32,MATCH(COUNTIF(BI43:BR43,10),ETAPP!A$1:A$32,0))&amp;INDEX(ETAPP!B$1:B$32,MATCH(COUNTIF(BI43:BR43,11),ETAPP!A$1:A$32,0))&amp;INDEX(ETAPP!B$1:B$32,MATCH(COUNTIF(BI43:BR43,12),ETAPP!A$1:A$32,0))&amp;INDEX(ETAPP!B$1:B$32,MATCH(COUNTIF(BI43:BR43,13),ETAPP!A$1:A$32,0))&amp;INDEX(ETAPP!B$1:B$32,MATCH(COUNTIF(BI43:BR43,14),ETAPP!A$1:A$32,0))&amp;INDEX(ETAPP!B$1:B$32,MATCH(COUNTIF(BI43:BR43,15),ETAPP!A$1:A$32,0))&amp;INDEX(ETAPP!B$1:B$32,MATCH(COUNTIF(BI43:BR43,16),ETAPP!A$1:A$32,0))&amp;INDEX(ETAPP!B$1:B$32,MATCH(COUNTIF(BI43:BR43,17),ETAPP!A$1:A$32,0))&amp;INDEX(ETAPP!B$1:B$32,MATCH(COUNTIF(BI43:BR43,18),ETAPP!A$1:A$32,0))&amp;INDEX(ETAPP!B$1:B$32,MATCH(COUNTIF(BI43:BR43,19),ETAPP!A$1:A$32,0))&amp;INDEX(ETAPP!B$1:B$32,MATCH(COUNTIF(BI43:BR43,20),ETAPP!A$1:A$32,0))&amp;INDEX(ETAPP!B$1:B$32,MATCH(COUNTIF(BI43:BR43,21),ETAPP!A$1:A$32,0))</f>
        <v>0000000A00AAA0000A000</v>
      </c>
      <c r="T43" s="193" t="str">
        <f>TEXT(R43,"000,0")&amp;"-"&amp;S43</f>
        <v>026,0-0000000A00AAA0000A000</v>
      </c>
      <c r="U43" s="193">
        <f>COUNTIF(T$7:T$126,"&gt;="&amp;T43)</f>
        <v>37</v>
      </c>
      <c r="V43" s="193">
        <f>COUNTIF(L$7:L$126,"&gt;="&amp;L43)</f>
        <v>84</v>
      </c>
      <c r="W43" s="193" t="str">
        <f>TEXT(R43,"000,0")&amp;"-"&amp;S43&amp;"-"&amp;TEXT(V43,"000")</f>
        <v>026,0-0000000A00AAA0000A000-084</v>
      </c>
      <c r="X43" s="193">
        <f>COUNTIF(W$7:W$126,"&gt;="&amp;W43)</f>
        <v>37</v>
      </c>
      <c r="Y43" s="201">
        <f>RANK(X43,X$7:X$126,0)</f>
        <v>84</v>
      </c>
      <c r="Z43" s="202">
        <f>IFERROR(INDEX('V1'!C$300:C$400,MATCH("*"&amp;L43&amp;"*",'V1'!B$300:B$400,0)),"  ")</f>
        <v>4</v>
      </c>
      <c r="AA43" s="202">
        <f>IFERROR(INDEX('V2'!C$300:C$400,MATCH("*"&amp;L43&amp;"*",'V2'!B$300:B$400,0)),"  ")</f>
        <v>8</v>
      </c>
      <c r="AB43" s="202">
        <f>IFERROR(INDEX('V3'!C$300:C$400,MATCH("*"&amp;L43&amp;"*",'V3'!B$300:B$400,0)),"  ")</f>
        <v>4</v>
      </c>
      <c r="AC43" s="202">
        <f>IFERROR(INDEX('V4'!C$300:C$400,MATCH("*"&amp;L43&amp;"*",'V4'!B$300:B$400,0)),"  ")</f>
        <v>4</v>
      </c>
      <c r="AD43" s="202">
        <f>IFERROR(INDEX('V5'!C$300:C$400,MATCH("*"&amp;L43&amp;"*",'V5'!B$300:B$400,0)),"  ")</f>
        <v>6</v>
      </c>
      <c r="AE43" s="202" t="str">
        <f>IFERROR(INDEX('V6'!C$300:C$400,MATCH("*"&amp;L43&amp;"*",'V6'!B$300:B$400,0)),"  ")</f>
        <v>  </v>
      </c>
      <c r="AF43" s="202" t="str">
        <f>IFERROR(INDEX('V7'!C$300:C$400,MATCH("*"&amp;L43&amp;"*",'V7'!B$300:B$400,0)),"  ")</f>
        <v>  </v>
      </c>
      <c r="AG43" s="202" t="str">
        <f>IFERROR(INDEX('V8'!C$300:C$400,MATCH("*"&amp;L43&amp;"*",'V8'!B$300:B$400,0)),"  ")</f>
        <v>  </v>
      </c>
      <c r="AH43" s="202"/>
      <c r="AI43" s="202"/>
      <c r="AJ43" s="222">
        <f>IF(AN43&gt;(AT$2-1),K43,"")</f>
        <v>37</v>
      </c>
      <c r="AK43" s="223">
        <f>SUM(Z43:AI43)</f>
        <v>26</v>
      </c>
      <c r="AL43" s="224" t="str">
        <f>IFERROR("edasi "&amp;RANK(AJ43,AJ$7:AJ$126,1),K43)</f>
        <v>edasi 35</v>
      </c>
      <c r="AM43" s="225" t="str">
        <f>IFERROR(INDEX(#REF!,MATCH("*"&amp;L43&amp;"*",#REF!,0)),"  ")</f>
        <v>  </v>
      </c>
      <c r="AN43" s="226">
        <f>COUNTIF(Z43:AI43,"&gt;=0")</f>
        <v>5</v>
      </c>
      <c r="AO43" s="126">
        <f>IFERROR(IF(Z43+1&gt;LARGE(Z$7:Z$126,1)-2*LEN(Z$5),1),0)+IFERROR(IF(AA43+1&gt;LARGE(AA$7:AA$126,1)-2*LEN(AA$5),1),0)+IFERROR(IF(AB43+1&gt;LARGE(AB$7:AB$126,1)-2*LEN(AB$5),1),0)+IFERROR(IF(AC43+1&gt;LARGE(AC$7:AC$126,1)-2*LEN(AC$5),1),0)+IFERROR(IF(AD43+1&gt;LARGE(AD$7:AD$126,1)-2*LEN(AD$5),1),0)+IFERROR(IF(AE43+1&gt;LARGE(AE$7:AE$126,1)-2*LEN(AE$5),1),0)+IFERROR(IF(AF43+1&gt;LARGE(AF$7:AF$126,1)-2*LEN(AF$5),1),0)+IFERROR(IF(AG43+1&gt;LARGE(AG$7:AG$126,1)-2*LEN(AG$5),1),0)+IFERROR(IF(AH43+1&gt;LARGE(AH$7:AH$126,1)-2*LEN(AH$5),1),0)+IFERROR(IF(AI43+1&gt;LARGE(AI$7:AI$126,1)-2*LEN(AI$5),1),0)</f>
        <v>0</v>
      </c>
      <c r="AP43" s="126">
        <f>IF(Z43=0,0,IF(Z43=IFERROR(LARGE(Z$7:Z$126,1),0),1,0))+IF(AA43=0,0,IF(AA43=IFERROR(LARGE(AA$7:AA$126,1),0),1,0))+IF(AB43=0,0,IF(AB43=IFERROR(LARGE(AB$7:AB$126,1),0),1,0))+IF(AC43=0,0,IF(AC43=IFERROR(LARGE(AC$7:AC$126,1),0),1,0))+IF(AD43=0,0,IF(AD43=IFERROR(LARGE(AD$7:AD$126,1),0),1,0))+IF(AE43=0,0,IF(AE43=IFERROR(LARGE(AE$7:AE$126,1),0),1,0))+IF(AF43=0,0,IF(AF43=IFERROR(LARGE(AF$7:AF$126,1),0),1,0))+IF(AG43=0,0,IF(AG43=IFERROR(LARGE(AG$7:AG$126,1),0),1,0))+IF(AH43=0,0,IF(AH43=IFERROR(LARGE(AH$7:AH$126,1),0),1,0))+IF(AI43=0,0,IF(AI43=IFERROR(LARGE(AI$7:AI$126,1),0),1,0))</f>
        <v>0</v>
      </c>
      <c r="AQ43" s="233"/>
      <c r="AR43" s="233"/>
      <c r="AS43" s="233"/>
      <c r="AT43" s="234">
        <f>SMALL(AU43:BD43,AT$3)</f>
        <v>0.0006</v>
      </c>
      <c r="AU43" s="235">
        <f>IF(Z43="  ",0+MID(Z$6,FIND("V",Z$6)+1,256)/10000,Z43+MID(Z$6,FIND("V",Z$6)+1,256)/10000)</f>
        <v>4.0001</v>
      </c>
      <c r="AV43" s="235">
        <f>IF(AA43="  ",0+MID(AA$6,FIND("V",AA$6)+1,256)/10000,AA43+MID(AA$6,FIND("V",AA$6)+1,256)/10000)</f>
        <v>8.0002</v>
      </c>
      <c r="AW43" s="235">
        <f>IF(AB43="  ",0+MID(AB$6,FIND("V",AB$6)+1,256)/10000,AB43+MID(AB$6,FIND("V",AB$6)+1,256)/10000)</f>
        <v>4.0003</v>
      </c>
      <c r="AX43" s="235">
        <f>IF(AC43="  ",0+MID(AC$6,FIND("V",AC$6)+1,256)/10000,AC43+MID(AC$6,FIND("V",AC$6)+1,256)/10000)</f>
        <v>4.0004</v>
      </c>
      <c r="AY43" s="235">
        <f>IF(AD43="  ",0+MID(AD$6,FIND("V",AD$6)+1,256)/10000,AD43+MID(AD$6,FIND("V",AD$6)+1,256)/10000)</f>
        <v>6.0005</v>
      </c>
      <c r="AZ43" s="235">
        <f>IF(AE43="  ",0+MID(AE$6,FIND("V",AE$6)+1,256)/10000,AE43+MID(AE$6,FIND("V",AE$6)+1,256)/10000)</f>
        <v>0.0006</v>
      </c>
      <c r="BA43" s="235">
        <f>IF(AF43="  ",0+MID(AF$6,FIND("V",AF$6)+1,256)/10000,AF43+MID(AF$6,FIND("V",AF$6)+1,256)/10000)</f>
        <v>0.0007</v>
      </c>
      <c r="BB43" s="235">
        <f>IF(AG43="  ",0+MID(AG$6,FIND("V",AG$6)+1,256)/10000,AG43+MID(AG$6,FIND("V",AG$6)+1,256)/10000)</f>
        <v>0.0008</v>
      </c>
      <c r="BC43" s="235">
        <f>IF(AH43="  ",0+MID(AH$6,FIND("V",AH$6)+1,256)/10000,AH43+MID(AH$6,FIND("V",AH$6)+1,256)/10000)</f>
        <v>0.0009</v>
      </c>
      <c r="BD43" s="235">
        <f>IF(AI43="  ",0+MID(AI$6,FIND("V",AI$6)+1,256)/10000,AI43+MID(AI$6,FIND("V",AI$6)+1,256)/10000)</f>
        <v>0.001</v>
      </c>
      <c r="BE43" s="233"/>
      <c r="BF43" s="233"/>
      <c r="BG43" s="233"/>
      <c r="BH43" s="233"/>
      <c r="BI43" s="3">
        <f>(LARGE(Z$7:Z$126,1)-Z43)/2+1</f>
        <v>8</v>
      </c>
      <c r="BJ43" s="3">
        <f>(LARGE(AA$7:AA$126,1)-AA43)/2+1</f>
        <v>11</v>
      </c>
      <c r="BK43" s="3">
        <f>(LARGE(AB$7:AB$126,1)-AB43)/2+1</f>
        <v>12</v>
      </c>
      <c r="BL43" s="3">
        <f>(LARGE(AC$7:AC$126,1)-AC43)/2+1</f>
        <v>13</v>
      </c>
      <c r="BM43" s="3">
        <f>(LARGE(AD$7:AD$126,1)-AD43)/2+1</f>
        <v>18</v>
      </c>
      <c r="BN43" s="3" t="e">
        <f>(LARGE(AE$7:AE$126,1)-AE43)/2+1</f>
        <v>#VALUE!</v>
      </c>
      <c r="BO43" s="3" t="e">
        <f>(LARGE(AF$7:AF$126,1)-AF43)/2+1</f>
        <v>#VALUE!</v>
      </c>
      <c r="BP43" s="3" t="e">
        <f>(LARGE(AG$7:AG$126,1)-AG43)/2+1</f>
        <v>#VALUE!</v>
      </c>
      <c r="BQ43" s="3" t="e">
        <f>(LARGE(AH$7:AH$126,1)-AH43)/2+1</f>
        <v>#NUM!</v>
      </c>
      <c r="BR43" s="3" t="e">
        <f>(LARGE(AI$7:AI$126,1)-AI43)/2+1</f>
        <v>#NUM!</v>
      </c>
    </row>
    <row r="44" ht="12.75" customHeight="1" spans="1:70">
      <c r="A44" s="139">
        <f>IF(R44&gt;0,IF(Q44="Viru SK",RANK(B44,B$7:B$126,1)-COUNTIF((Q$7:Q$126),"&lt;&gt;Viru SK"),""),"")</f>
        <v>28</v>
      </c>
      <c r="B44" s="140">
        <f>IF((Q44="Viru SK"),U44,U44-1000)</f>
        <v>39</v>
      </c>
      <c r="C44" s="141" t="str">
        <f>IF(R44&gt;0,IF(P44="t",RANK(D44,D$7:D$126,1)-COUNTBLANK(P$7:P$126),""),"")</f>
        <v/>
      </c>
      <c r="D44" s="142">
        <f>IF((P44="t"),U44,U44-1000)</f>
        <v>-961</v>
      </c>
      <c r="E44" s="143" t="str">
        <f>IF(R44&gt;0,IF(N44="m",RANK(F44,F$7:F$126,1)-COUNTBLANK(N$7:N$126),""),"")</f>
        <v/>
      </c>
      <c r="F44" s="144">
        <f>IF((N44="m"),U44,U44-1000)</f>
        <v>-961</v>
      </c>
      <c r="G44" s="145">
        <f>IF(R44&gt;0,IF(M44="n",RANK(H44,H$7:H$126,1)-COUNTBLANK(M$7:M$126),""),"")</f>
        <v>8</v>
      </c>
      <c r="H44" s="144">
        <f>IF((M44="n"),U44,U44-1000)</f>
        <v>39</v>
      </c>
      <c r="I44" s="160" t="str">
        <f>IF(R44&gt;0,IF(O44="j",RANK(J44,J$7:J$126,1)-COUNTBLANK(O$7:O$126),""),"")</f>
        <v/>
      </c>
      <c r="J44" s="161">
        <f>IF((O44="j"),U44,U44-1000)</f>
        <v>-961</v>
      </c>
      <c r="K44" s="162">
        <f>IF(R44&gt;0,RANK(U44,U$7:U$126,1),"")</f>
        <v>38</v>
      </c>
      <c r="L44" s="174" t="s">
        <v>234</v>
      </c>
      <c r="M44" s="164" t="s">
        <v>203</v>
      </c>
      <c r="N44" s="165" t="str">
        <f>IF(M44="","m","")</f>
        <v/>
      </c>
      <c r="O44" s="166"/>
      <c r="P44" s="167"/>
      <c r="Q44" s="192" t="s">
        <v>171</v>
      </c>
      <c r="R44" s="154">
        <f>(IF(COUNT(Z44,AA44,AB44,AC44,AD44,AE44,AF44,AG44,AH44,AI44)&lt;10,SUM(Z44,AA44,AB44,AC44,AD44,AE44,AF44,AG44,AH44,AI44),SUM(LARGE((Z44,AA44,AB44,AC44,AD44,AE44,AF44,AG44,AH44,AI44),{1;2;3;4;5;6;7;8;9}))))</f>
        <v>26</v>
      </c>
      <c r="S44" s="193" t="str">
        <f>INDEX(ETAPP!B$1:B$32,MATCH(COUNTIF(BI44:BR44,1),ETAPP!A$1:A$32,0))&amp;INDEX(ETAPP!B$1:B$32,MATCH(COUNTIF(BI44:BR44,2),ETAPP!A$1:A$32,0))&amp;INDEX(ETAPP!B$1:B$32,MATCH(COUNTIF(BI44:BR44,3),ETAPP!A$1:A$32,0))&amp;INDEX(ETAPP!B$1:B$32,MATCH(COUNTIF(BI44:BR44,4),ETAPP!A$1:A$32,0))&amp;INDEX(ETAPP!B$1:B$32,MATCH(COUNTIF(BI44:BR44,5),ETAPP!A$1:A$32,0))&amp;INDEX(ETAPP!B$1:B$32,MATCH(COUNTIF(BI44:BR44,6),ETAPP!A$1:A$32,0))&amp;INDEX(ETAPP!B$1:B$32,MATCH(COUNTIF(BI44:BR44,7),ETAPP!A$1:A$32,0))&amp;INDEX(ETAPP!B$1:B$32,MATCH(COUNTIF(BI44:BR44,8),ETAPP!A$1:A$32,0))&amp;INDEX(ETAPP!B$1:B$32,MATCH(COUNTIF(BI44:BR44,9),ETAPP!A$1:A$32,0))&amp;INDEX(ETAPP!B$1:B$32,MATCH(COUNTIF(BI44:BR44,10),ETAPP!A$1:A$32,0))&amp;INDEX(ETAPP!B$1:B$32,MATCH(COUNTIF(BI44:BR44,11),ETAPP!A$1:A$32,0))&amp;INDEX(ETAPP!B$1:B$32,MATCH(COUNTIF(BI44:BR44,12),ETAPP!A$1:A$32,0))&amp;INDEX(ETAPP!B$1:B$32,MATCH(COUNTIF(BI44:BR44,13),ETAPP!A$1:A$32,0))&amp;INDEX(ETAPP!B$1:B$32,MATCH(COUNTIF(BI44:BR44,14),ETAPP!A$1:A$32,0))&amp;INDEX(ETAPP!B$1:B$32,MATCH(COUNTIF(BI44:BR44,15),ETAPP!A$1:A$32,0))&amp;INDEX(ETAPP!B$1:B$32,MATCH(COUNTIF(BI44:BR44,16),ETAPP!A$1:A$32,0))&amp;INDEX(ETAPP!B$1:B$32,MATCH(COUNTIF(BI44:BR44,17),ETAPP!A$1:A$32,0))&amp;INDEX(ETAPP!B$1:B$32,MATCH(COUNTIF(BI44:BR44,18),ETAPP!A$1:A$32,0))&amp;INDEX(ETAPP!B$1:B$32,MATCH(COUNTIF(BI44:BR44,19),ETAPP!A$1:A$32,0))&amp;INDEX(ETAPP!B$1:B$32,MATCH(COUNTIF(BI44:BR44,20),ETAPP!A$1:A$32,0))&amp;INDEX(ETAPP!B$1:B$32,MATCH(COUNTIF(BI44:BR44,21),ETAPP!A$1:A$32,0))</f>
        <v>0000000000AA000000000</v>
      </c>
      <c r="T44" s="193" t="str">
        <f>TEXT(R44,"000,0")&amp;"-"&amp;S44</f>
        <v>026,0-0000000000AA000000000</v>
      </c>
      <c r="U44" s="193">
        <f>COUNTIF(T$7:T$126,"&gt;="&amp;T44)</f>
        <v>39</v>
      </c>
      <c r="V44" s="193">
        <f>COUNTIF(L$7:L$126,"&gt;="&amp;L44)</f>
        <v>91</v>
      </c>
      <c r="W44" s="193" t="str">
        <f>TEXT(R44,"000,0")&amp;"-"&amp;S44&amp;"-"&amp;TEXT(V44,"000")</f>
        <v>026,0-0000000000AA000000000-091</v>
      </c>
      <c r="X44" s="193">
        <f>COUNTIF(W$7:W$126,"&gt;="&amp;W44)</f>
        <v>38</v>
      </c>
      <c r="Y44" s="201">
        <f>RANK(X44,X$7:X$126,0)</f>
        <v>83</v>
      </c>
      <c r="Z44" s="202" t="str">
        <f>IFERROR(INDEX('V1'!C$300:C$400,MATCH("*"&amp;L44&amp;"*",'V1'!B$300:B$400,0)),"  ")</f>
        <v>  </v>
      </c>
      <c r="AA44" s="202" t="str">
        <f>IFERROR(INDEX('V2'!C$300:C$400,MATCH("*"&amp;L44&amp;"*",'V2'!B$300:B$400,0)),"  ")</f>
        <v>  </v>
      </c>
      <c r="AB44" s="202" t="str">
        <f>IFERROR(INDEX('V3'!C$300:C$400,MATCH("*"&amp;L44&amp;"*",'V3'!B$300:B$400,0)),"  ")</f>
        <v>  </v>
      </c>
      <c r="AC44" s="202">
        <f>IFERROR(INDEX('V4'!C$300:C$400,MATCH("*"&amp;L44&amp;"*",'V4'!B$300:B$400,0)),"  ")</f>
        <v>6</v>
      </c>
      <c r="AD44" s="202">
        <f>IFERROR(INDEX('V5'!C$300:C$400,MATCH("*"&amp;L44&amp;"*",'V5'!B$300:B$400,0)),"  ")</f>
        <v>20</v>
      </c>
      <c r="AE44" s="202" t="str">
        <f>IFERROR(INDEX('V6'!C$300:C$400,MATCH("*"&amp;L44&amp;"*",'V6'!B$300:B$400,0)),"  ")</f>
        <v>  </v>
      </c>
      <c r="AF44" s="202" t="str">
        <f>IFERROR(INDEX('V7'!C$300:C$400,MATCH("*"&amp;L44&amp;"*",'V7'!B$300:B$400,0)),"  ")</f>
        <v>  </v>
      </c>
      <c r="AG44" s="202" t="str">
        <f>IFERROR(INDEX('V8'!C$300:C$400,MATCH("*"&amp;L44&amp;"*",'V8'!B$300:B$400,0)),"  ")</f>
        <v>  </v>
      </c>
      <c r="AH44" s="202"/>
      <c r="AI44" s="202"/>
      <c r="AJ44" s="222" t="str">
        <f>IF(AN44&gt;(AT$2-1),K44,"")</f>
        <v/>
      </c>
      <c r="AK44" s="223">
        <f>SUM(Z44:AI44)</f>
        <v>26</v>
      </c>
      <c r="AL44" s="224">
        <f>IFERROR("edasi "&amp;RANK(AJ44,AJ$7:AJ$126,1),K44)</f>
        <v>38</v>
      </c>
      <c r="AM44" s="225" t="str">
        <f>IFERROR(INDEX(#REF!,MATCH("*"&amp;L44&amp;"*",#REF!,0)),"  ")</f>
        <v>  </v>
      </c>
      <c r="AN44" s="226">
        <f>COUNTIF(Z44:AI44,"&gt;=0")</f>
        <v>2</v>
      </c>
      <c r="AO44" s="126">
        <f>IFERROR(IF(Z44+1&gt;LARGE(Z$7:Z$126,1)-2*LEN(Z$5),1),0)+IFERROR(IF(AA44+1&gt;LARGE(AA$7:AA$126,1)-2*LEN(AA$5),1),0)+IFERROR(IF(AB44+1&gt;LARGE(AB$7:AB$126,1)-2*LEN(AB$5),1),0)+IFERROR(IF(AC44+1&gt;LARGE(AC$7:AC$126,1)-2*LEN(AC$5),1),0)+IFERROR(IF(AD44+1&gt;LARGE(AD$7:AD$126,1)-2*LEN(AD$5),1),0)+IFERROR(IF(AE44+1&gt;LARGE(AE$7:AE$126,1)-2*LEN(AE$5),1),0)+IFERROR(IF(AF44+1&gt;LARGE(AF$7:AF$126,1)-2*LEN(AF$5),1),0)+IFERROR(IF(AG44+1&gt;LARGE(AG$7:AG$126,1)-2*LEN(AG$5),1),0)+IFERROR(IF(AH44+1&gt;LARGE(AH$7:AH$126,1)-2*LEN(AH$5),1),0)+IFERROR(IF(AI44+1&gt;LARGE(AI$7:AI$126,1)-2*LEN(AI$5),1),0)</f>
        <v>0</v>
      </c>
      <c r="AP44" s="126">
        <f>IF(Z44=0,0,IF(Z44=IFERROR(LARGE(Z$7:Z$126,1),0),1,0))+IF(AA44=0,0,IF(AA44=IFERROR(LARGE(AA$7:AA$126,1),0),1,0))+IF(AB44=0,0,IF(AB44=IFERROR(LARGE(AB$7:AB$126,1),0),1,0))+IF(AC44=0,0,IF(AC44=IFERROR(LARGE(AC$7:AC$126,1),0),1,0))+IF(AD44=0,0,IF(AD44=IFERROR(LARGE(AD$7:AD$126,1),0),1,0))+IF(AE44=0,0,IF(AE44=IFERROR(LARGE(AE$7:AE$126,1),0),1,0))+IF(AF44=0,0,IF(AF44=IFERROR(LARGE(AF$7:AF$126,1),0),1,0))+IF(AG44=0,0,IF(AG44=IFERROR(LARGE(AG$7:AG$126,1),0),1,0))+IF(AH44=0,0,IF(AH44=IFERROR(LARGE(AH$7:AH$126,1),0),1,0))+IF(AI44=0,0,IF(AI44=IFERROR(LARGE(AI$7:AI$126,1),0),1,0))</f>
        <v>0</v>
      </c>
      <c r="AQ44" s="233"/>
      <c r="AR44" s="233"/>
      <c r="AS44" s="233"/>
      <c r="AT44" s="234">
        <f>SMALL(AU44:BD44,AT$3)</f>
        <v>0.0001</v>
      </c>
      <c r="AU44" s="235">
        <f>IF(Z44="  ",0+MID(Z$6,FIND("V",Z$6)+1,256)/10000,Z44+MID(Z$6,FIND("V",Z$6)+1,256)/10000)</f>
        <v>0.0001</v>
      </c>
      <c r="AV44" s="235">
        <f>IF(AA44="  ",0+MID(AA$6,FIND("V",AA$6)+1,256)/10000,AA44+MID(AA$6,FIND("V",AA$6)+1,256)/10000)</f>
        <v>0.0002</v>
      </c>
      <c r="AW44" s="235">
        <f>IF(AB44="  ",0+MID(AB$6,FIND("V",AB$6)+1,256)/10000,AB44+MID(AB$6,FIND("V",AB$6)+1,256)/10000)</f>
        <v>0.0003</v>
      </c>
      <c r="AX44" s="235">
        <f>IF(AC44="  ",0+MID(AC$6,FIND("V",AC$6)+1,256)/10000,AC44+MID(AC$6,FIND("V",AC$6)+1,256)/10000)</f>
        <v>6.0004</v>
      </c>
      <c r="AY44" s="235">
        <f>IF(AD44="  ",0+MID(AD$6,FIND("V",AD$6)+1,256)/10000,AD44+MID(AD$6,FIND("V",AD$6)+1,256)/10000)</f>
        <v>20.0005</v>
      </c>
      <c r="AZ44" s="235">
        <f>IF(AE44="  ",0+MID(AE$6,FIND("V",AE$6)+1,256)/10000,AE44+MID(AE$6,FIND("V",AE$6)+1,256)/10000)</f>
        <v>0.0006</v>
      </c>
      <c r="BA44" s="235">
        <f>IF(AF44="  ",0+MID(AF$6,FIND("V",AF$6)+1,256)/10000,AF44+MID(AF$6,FIND("V",AF$6)+1,256)/10000)</f>
        <v>0.0007</v>
      </c>
      <c r="BB44" s="235">
        <f>IF(AG44="  ",0+MID(AG$6,FIND("V",AG$6)+1,256)/10000,AG44+MID(AG$6,FIND("V",AG$6)+1,256)/10000)</f>
        <v>0.0008</v>
      </c>
      <c r="BC44" s="235">
        <f>IF(AH44="  ",0+MID(AH$6,FIND("V",AH$6)+1,256)/10000,AH44+MID(AH$6,FIND("V",AH$6)+1,256)/10000)</f>
        <v>0.0009</v>
      </c>
      <c r="BD44" s="235">
        <f>IF(AI44="  ",0+MID(AI$6,FIND("V",AI$6)+1,256)/10000,AI44+MID(AI$6,FIND("V",AI$6)+1,256)/10000)</f>
        <v>0.001</v>
      </c>
      <c r="BE44" s="233"/>
      <c r="BF44" s="233"/>
      <c r="BG44" s="233"/>
      <c r="BH44" s="233"/>
      <c r="BI44" s="3" t="e">
        <f>(LARGE(Z$7:Z$126,1)-Z44)/2+1</f>
        <v>#VALUE!</v>
      </c>
      <c r="BJ44" s="3" t="e">
        <f>(LARGE(AA$7:AA$126,1)-AA44)/2+1</f>
        <v>#VALUE!</v>
      </c>
      <c r="BK44" s="3" t="e">
        <f>(LARGE(AB$7:AB$126,1)-AB44)/2+1</f>
        <v>#VALUE!</v>
      </c>
      <c r="BL44" s="3">
        <f>(LARGE(AC$7:AC$126,1)-AC44)/2+1</f>
        <v>12</v>
      </c>
      <c r="BM44" s="3">
        <f>(LARGE(AD$7:AD$126,1)-AD44)/2+1</f>
        <v>11</v>
      </c>
      <c r="BN44" s="3" t="e">
        <f>(LARGE(AE$7:AE$126,1)-AE44)/2+1</f>
        <v>#VALUE!</v>
      </c>
      <c r="BO44" s="3" t="e">
        <f>(LARGE(AF$7:AF$126,1)-AF44)/2+1</f>
        <v>#VALUE!</v>
      </c>
      <c r="BP44" s="3" t="e">
        <f>(LARGE(AG$7:AG$126,1)-AG44)/2+1</f>
        <v>#VALUE!</v>
      </c>
      <c r="BQ44" s="3" t="e">
        <f>(LARGE(AH$7:AH$126,1)-AH44)/2+1</f>
        <v>#NUM!</v>
      </c>
      <c r="BR44" s="3" t="e">
        <f>(LARGE(AI$7:AI$126,1)-AI44)/2+1</f>
        <v>#NUM!</v>
      </c>
    </row>
    <row r="45" ht="12.75" customHeight="1" spans="1:70">
      <c r="A45" s="139">
        <f>IF(R45&gt;0,IF(Q45="Viru SK",RANK(B45,B$7:B$126,1)-COUNTIF((Q$7:Q$126),"&lt;&gt;Viru SK"),""),"")</f>
        <v>28</v>
      </c>
      <c r="B45" s="140">
        <f>IF((Q45="Viru SK"),U45,U45-1000)</f>
        <v>39</v>
      </c>
      <c r="C45" s="141" t="str">
        <f>IF(R45&gt;0,IF(P45="t",RANK(D45,D$7:D$126,1)-COUNTBLANK(P$7:P$126),""),"")</f>
        <v/>
      </c>
      <c r="D45" s="142">
        <f>IF((P45="t"),U45,U45-1000)</f>
        <v>-961</v>
      </c>
      <c r="E45" s="143">
        <f>IF(R45&gt;0,IF(N45="m",RANK(F45,F$7:F$126,1)-COUNTBLANK(N$7:N$126),""),"")</f>
        <v>32</v>
      </c>
      <c r="F45" s="144">
        <f>IF((N45="m"),U45,U45-1000)</f>
        <v>39</v>
      </c>
      <c r="G45" s="145" t="str">
        <f>IF(R45&gt;0,IF(M45="n",RANK(H45,H$7:H$126,1)-COUNTBLANK(M$7:M$126),""),"")</f>
        <v/>
      </c>
      <c r="H45" s="144">
        <f>IF((M45="n"),U45,U45-1000)</f>
        <v>-961</v>
      </c>
      <c r="I45" s="160" t="str">
        <f>IF(R45&gt;0,IF(O45="j",RANK(J45,J$7:J$126,1)-COUNTBLANK(O$7:O$126),""),"")</f>
        <v/>
      </c>
      <c r="J45" s="161">
        <f>IF((O45="j"),U45,U45-1000)</f>
        <v>-961</v>
      </c>
      <c r="K45" s="162">
        <f>IF(R45&gt;0,RANK(U45,U$7:U$126,1),"")</f>
        <v>38</v>
      </c>
      <c r="L45" s="181" t="s">
        <v>235</v>
      </c>
      <c r="M45" s="164"/>
      <c r="N45" s="165" t="str">
        <f>IF(M45="","m","")</f>
        <v>m</v>
      </c>
      <c r="O45" s="166"/>
      <c r="P45" s="167"/>
      <c r="Q45" s="192" t="s">
        <v>171</v>
      </c>
      <c r="R45" s="154">
        <f>(IF(COUNT(Z45,AA45,AB45,AC45,AD45,AE45,AF45,AG45,AH45,AI45)&lt;10,SUM(Z45,AA45,AB45,AC45,AD45,AE45,AF45,AG45,AH45,AI45),SUM(LARGE((Z45,AA45,AB45,AC45,AD45,AE45,AF45,AG45,AH45,AI45),{1;2;3;4;5;6;7;8;9}))))</f>
        <v>26</v>
      </c>
      <c r="S45" s="193" t="str">
        <f>INDEX(ETAPP!B$1:B$32,MATCH(COUNTIF(BI45:BR45,1),ETAPP!A$1:A$32,0))&amp;INDEX(ETAPP!B$1:B$32,MATCH(COUNTIF(BI45:BR45,2),ETAPP!A$1:A$32,0))&amp;INDEX(ETAPP!B$1:B$32,MATCH(COUNTIF(BI45:BR45,3),ETAPP!A$1:A$32,0))&amp;INDEX(ETAPP!B$1:B$32,MATCH(COUNTIF(BI45:BR45,4),ETAPP!A$1:A$32,0))&amp;INDEX(ETAPP!B$1:B$32,MATCH(COUNTIF(BI45:BR45,5),ETAPP!A$1:A$32,0))&amp;INDEX(ETAPP!B$1:B$32,MATCH(COUNTIF(BI45:BR45,6),ETAPP!A$1:A$32,0))&amp;INDEX(ETAPP!B$1:B$32,MATCH(COUNTIF(BI45:BR45,7),ETAPP!A$1:A$32,0))&amp;INDEX(ETAPP!B$1:B$32,MATCH(COUNTIF(BI45:BR45,8),ETAPP!A$1:A$32,0))&amp;INDEX(ETAPP!B$1:B$32,MATCH(COUNTIF(BI45:BR45,9),ETAPP!A$1:A$32,0))&amp;INDEX(ETAPP!B$1:B$32,MATCH(COUNTIF(BI45:BR45,10),ETAPP!A$1:A$32,0))&amp;INDEX(ETAPP!B$1:B$32,MATCH(COUNTIF(BI45:BR45,11),ETAPP!A$1:A$32,0))&amp;INDEX(ETAPP!B$1:B$32,MATCH(COUNTIF(BI45:BR45,12),ETAPP!A$1:A$32,0))&amp;INDEX(ETAPP!B$1:B$32,MATCH(COUNTIF(BI45:BR45,13),ETAPP!A$1:A$32,0))&amp;INDEX(ETAPP!B$1:B$32,MATCH(COUNTIF(BI45:BR45,14),ETAPP!A$1:A$32,0))&amp;INDEX(ETAPP!B$1:B$32,MATCH(COUNTIF(BI45:BR45,15),ETAPP!A$1:A$32,0))&amp;INDEX(ETAPP!B$1:B$32,MATCH(COUNTIF(BI45:BR45,16),ETAPP!A$1:A$32,0))&amp;INDEX(ETAPP!B$1:B$32,MATCH(COUNTIF(BI45:BR45,17),ETAPP!A$1:A$32,0))&amp;INDEX(ETAPP!B$1:B$32,MATCH(COUNTIF(BI45:BR45,18),ETAPP!A$1:A$32,0))&amp;INDEX(ETAPP!B$1:B$32,MATCH(COUNTIF(BI45:BR45,19),ETAPP!A$1:A$32,0))&amp;INDEX(ETAPP!B$1:B$32,MATCH(COUNTIF(BI45:BR45,20),ETAPP!A$1:A$32,0))&amp;INDEX(ETAPP!B$1:B$32,MATCH(COUNTIF(BI45:BR45,21),ETAPP!A$1:A$32,0))</f>
        <v>0000000000AA000000000</v>
      </c>
      <c r="T45" s="193" t="str">
        <f>TEXT(R45,"000,0")&amp;"-"&amp;S45</f>
        <v>026,0-0000000000AA000000000</v>
      </c>
      <c r="U45" s="193">
        <f>COUNTIF(T$7:T$126,"&gt;="&amp;T45)</f>
        <v>39</v>
      </c>
      <c r="V45" s="193">
        <f>COUNTIF(L$7:L$126,"&gt;="&amp;L45)</f>
        <v>9</v>
      </c>
      <c r="W45" s="193" t="str">
        <f>TEXT(R45,"000,0")&amp;"-"&amp;S45&amp;"-"&amp;TEXT(V45,"000")</f>
        <v>026,0-0000000000AA000000000-009</v>
      </c>
      <c r="X45" s="193">
        <f>COUNTIF(W$7:W$126,"&gt;="&amp;W45)</f>
        <v>39</v>
      </c>
      <c r="Y45" s="201">
        <f>RANK(X45,X$7:X$126,0)</f>
        <v>82</v>
      </c>
      <c r="Z45" s="202" t="str">
        <f>IFERROR(INDEX('V1'!C$300:C$400,MATCH("*"&amp;L45&amp;"*",'V1'!B$300:B$400,0)),"  ")</f>
        <v>  </v>
      </c>
      <c r="AA45" s="202" t="str">
        <f>IFERROR(INDEX('V2'!C$300:C$400,MATCH("*"&amp;L45&amp;"*",'V2'!B$300:B$400,0)),"  ")</f>
        <v>  </v>
      </c>
      <c r="AB45" s="202" t="str">
        <f>IFERROR(INDEX('V3'!C$300:C$400,MATCH("*"&amp;L45&amp;"*",'V3'!B$300:B$400,0)),"  ")</f>
        <v>  </v>
      </c>
      <c r="AC45" s="202">
        <f>IFERROR(INDEX('V4'!C$300:C$400,MATCH("*"&amp;L45&amp;"*",'V4'!B$300:B$400,0)),"  ")</f>
        <v>6</v>
      </c>
      <c r="AD45" s="202">
        <f>IFERROR(INDEX('V5'!C$300:C$400,MATCH("*"&amp;L45&amp;"*",'V5'!B$300:B$400,0)),"  ")</f>
        <v>20</v>
      </c>
      <c r="AE45" s="202" t="str">
        <f>IFERROR(INDEX('V6'!C$300:C$400,MATCH("*"&amp;L45&amp;"*",'V6'!B$300:B$400,0)),"  ")</f>
        <v>  </v>
      </c>
      <c r="AF45" s="202" t="str">
        <f>IFERROR(INDEX('V7'!C$300:C$400,MATCH("*"&amp;L45&amp;"*",'V7'!B$300:B$400,0)),"  ")</f>
        <v>  </v>
      </c>
      <c r="AG45" s="202" t="str">
        <f>IFERROR(INDEX('V8'!C$300:C$400,MATCH("*"&amp;L45&amp;"*",'V8'!B$300:B$400,0)),"  ")</f>
        <v>  </v>
      </c>
      <c r="AH45" s="202"/>
      <c r="AI45" s="202"/>
      <c r="AJ45" s="222" t="str">
        <f>IF(AN45&gt;(AT$2-1),K45,"")</f>
        <v/>
      </c>
      <c r="AK45" s="223">
        <f>SUM(Z45:AI45)</f>
        <v>26</v>
      </c>
      <c r="AL45" s="224">
        <f>IFERROR("edasi "&amp;RANK(AJ45,AJ$7:AJ$126,1),K45)</f>
        <v>38</v>
      </c>
      <c r="AM45" s="225" t="str">
        <f>IFERROR(INDEX(#REF!,MATCH("*"&amp;L45&amp;"*",#REF!,0)),"  ")</f>
        <v>  </v>
      </c>
      <c r="AN45" s="226">
        <f>COUNTIF(Z45:AI45,"&gt;=0")</f>
        <v>2</v>
      </c>
      <c r="AO45" s="126">
        <f>IFERROR(IF(Z45+1&gt;LARGE(Z$7:Z$126,1)-2*LEN(Z$5),1),0)+IFERROR(IF(AA45+1&gt;LARGE(AA$7:AA$126,1)-2*LEN(AA$5),1),0)+IFERROR(IF(AB45+1&gt;LARGE(AB$7:AB$126,1)-2*LEN(AB$5),1),0)+IFERROR(IF(AC45+1&gt;LARGE(AC$7:AC$126,1)-2*LEN(AC$5),1),0)+IFERROR(IF(AD45+1&gt;LARGE(AD$7:AD$126,1)-2*LEN(AD$5),1),0)+IFERROR(IF(AE45+1&gt;LARGE(AE$7:AE$126,1)-2*LEN(AE$5),1),0)+IFERROR(IF(AF45+1&gt;LARGE(AF$7:AF$126,1)-2*LEN(AF$5),1),0)+IFERROR(IF(AG45+1&gt;LARGE(AG$7:AG$126,1)-2*LEN(AG$5),1),0)+IFERROR(IF(AH45+1&gt;LARGE(AH$7:AH$126,1)-2*LEN(AH$5),1),0)+IFERROR(IF(AI45+1&gt;LARGE(AI$7:AI$126,1)-2*LEN(AI$5),1),0)</f>
        <v>0</v>
      </c>
      <c r="AP45" s="126">
        <f>IF(Z45=0,0,IF(Z45=IFERROR(LARGE(Z$7:Z$126,1),0),1,0))+IF(AA45=0,0,IF(AA45=IFERROR(LARGE(AA$7:AA$126,1),0),1,0))+IF(AB45=0,0,IF(AB45=IFERROR(LARGE(AB$7:AB$126,1),0),1,0))+IF(AC45=0,0,IF(AC45=IFERROR(LARGE(AC$7:AC$126,1),0),1,0))+IF(AD45=0,0,IF(AD45=IFERROR(LARGE(AD$7:AD$126,1),0),1,0))+IF(AE45=0,0,IF(AE45=IFERROR(LARGE(AE$7:AE$126,1),0),1,0))+IF(AF45=0,0,IF(AF45=IFERROR(LARGE(AF$7:AF$126,1),0),1,0))+IF(AG45=0,0,IF(AG45=IFERROR(LARGE(AG$7:AG$126,1),0),1,0))+IF(AH45=0,0,IF(AH45=IFERROR(LARGE(AH$7:AH$126,1),0),1,0))+IF(AI45=0,0,IF(AI45=IFERROR(LARGE(AI$7:AI$126,1),0),1,0))</f>
        <v>0</v>
      </c>
      <c r="AQ45" s="233"/>
      <c r="AR45" s="233"/>
      <c r="AS45" s="233"/>
      <c r="AT45" s="234">
        <f>SMALL(AU45:BD45,AT$3)</f>
        <v>0.0001</v>
      </c>
      <c r="AU45" s="235">
        <f>IF(Z45="  ",0+MID(Z$6,FIND("V",Z$6)+1,256)/10000,Z45+MID(Z$6,FIND("V",Z$6)+1,256)/10000)</f>
        <v>0.0001</v>
      </c>
      <c r="AV45" s="235">
        <f>IF(AA45="  ",0+MID(AA$6,FIND("V",AA$6)+1,256)/10000,AA45+MID(AA$6,FIND("V",AA$6)+1,256)/10000)</f>
        <v>0.0002</v>
      </c>
      <c r="AW45" s="235">
        <f>IF(AB45="  ",0+MID(AB$6,FIND("V",AB$6)+1,256)/10000,AB45+MID(AB$6,FIND("V",AB$6)+1,256)/10000)</f>
        <v>0.0003</v>
      </c>
      <c r="AX45" s="235">
        <f>IF(AC45="  ",0+MID(AC$6,FIND("V",AC$6)+1,256)/10000,AC45+MID(AC$6,FIND("V",AC$6)+1,256)/10000)</f>
        <v>6.0004</v>
      </c>
      <c r="AY45" s="235">
        <f>IF(AD45="  ",0+MID(AD$6,FIND("V",AD$6)+1,256)/10000,AD45+MID(AD$6,FIND("V",AD$6)+1,256)/10000)</f>
        <v>20.0005</v>
      </c>
      <c r="AZ45" s="235">
        <f>IF(AE45="  ",0+MID(AE$6,FIND("V",AE$6)+1,256)/10000,AE45+MID(AE$6,FIND("V",AE$6)+1,256)/10000)</f>
        <v>0.0006</v>
      </c>
      <c r="BA45" s="235">
        <f>IF(AF45="  ",0+MID(AF$6,FIND("V",AF$6)+1,256)/10000,AF45+MID(AF$6,FIND("V",AF$6)+1,256)/10000)</f>
        <v>0.0007</v>
      </c>
      <c r="BB45" s="235">
        <f>IF(AG45="  ",0+MID(AG$6,FIND("V",AG$6)+1,256)/10000,AG45+MID(AG$6,FIND("V",AG$6)+1,256)/10000)</f>
        <v>0.0008</v>
      </c>
      <c r="BC45" s="235">
        <f>IF(AH45="  ",0+MID(AH$6,FIND("V",AH$6)+1,256)/10000,AH45+MID(AH$6,FIND("V",AH$6)+1,256)/10000)</f>
        <v>0.0009</v>
      </c>
      <c r="BD45" s="235">
        <f>IF(AI45="  ",0+MID(AI$6,FIND("V",AI$6)+1,256)/10000,AI45+MID(AI$6,FIND("V",AI$6)+1,256)/10000)</f>
        <v>0.001</v>
      </c>
      <c r="BE45" s="233"/>
      <c r="BF45" s="233"/>
      <c r="BG45" s="233"/>
      <c r="BH45" s="233"/>
      <c r="BI45" s="3" t="e">
        <f>(LARGE(Z$7:Z$126,1)-Z45)/2+1</f>
        <v>#VALUE!</v>
      </c>
      <c r="BJ45" s="3" t="e">
        <f>(LARGE(AA$7:AA$126,1)-AA45)/2+1</f>
        <v>#VALUE!</v>
      </c>
      <c r="BK45" s="3" t="e">
        <f>(LARGE(AB$7:AB$126,1)-AB45)/2+1</f>
        <v>#VALUE!</v>
      </c>
      <c r="BL45" s="3">
        <f>(LARGE(AC$7:AC$126,1)-AC45)/2+1</f>
        <v>12</v>
      </c>
      <c r="BM45" s="3">
        <f>(LARGE(AD$7:AD$126,1)-AD45)/2+1</f>
        <v>11</v>
      </c>
      <c r="BN45" s="3" t="e">
        <f>(LARGE(AE$7:AE$126,1)-AE45)/2+1</f>
        <v>#VALUE!</v>
      </c>
      <c r="BO45" s="3" t="e">
        <f>(LARGE(AF$7:AF$126,1)-AF45)/2+1</f>
        <v>#VALUE!</v>
      </c>
      <c r="BP45" s="3" t="e">
        <f>(LARGE(AG$7:AG$126,1)-AG45)/2+1</f>
        <v>#VALUE!</v>
      </c>
      <c r="BQ45" s="3" t="e">
        <f>(LARGE(AH$7:AH$126,1)-AH45)/2+1</f>
        <v>#NUM!</v>
      </c>
      <c r="BR45" s="3" t="e">
        <f>(LARGE(AI$7:AI$126,1)-AI45)/2+1</f>
        <v>#NUM!</v>
      </c>
    </row>
    <row r="46" ht="12.75" customHeight="1" spans="1:70">
      <c r="A46" s="139" t="str">
        <f>IF(R46&gt;0,IF(Q46="Viru SK",RANK(B46,B$7:B$126,1)-COUNTIF((Q$7:Q$126),"&lt;&gt;Viru SK"),""),"")</f>
        <v/>
      </c>
      <c r="B46" s="140">
        <f>IF((Q46="Viru SK"),U46,U46-1000)</f>
        <v>-960</v>
      </c>
      <c r="C46" s="141" t="str">
        <f>IF(R46&gt;0,IF(P46="t",RANK(D46,D$7:D$126,1)-COUNTBLANK(P$7:P$126),""),"")</f>
        <v/>
      </c>
      <c r="D46" s="142">
        <f>IF((P46="t"),U46,U46-1000)</f>
        <v>-960</v>
      </c>
      <c r="E46" s="143">
        <f>IF(R46&gt;0,IF(N46="m",RANK(F46,F$7:F$126,1)-COUNTBLANK(N$7:N$126),""),"")</f>
        <v>33</v>
      </c>
      <c r="F46" s="144">
        <f>IF((N46="m"),U46,U46-1000)</f>
        <v>40</v>
      </c>
      <c r="G46" s="145" t="str">
        <f>IF(R46&gt;0,IF(M46="n",RANK(H46,H$7:H$126,1)-COUNTBLANK(M$7:M$126),""),"")</f>
        <v/>
      </c>
      <c r="H46" s="144">
        <f>IF((M46="n"),U46,U46-1000)</f>
        <v>-960</v>
      </c>
      <c r="I46" s="160" t="str">
        <f>IF(R46&gt;0,IF(O46="j",RANK(J46,J$7:J$126,1)-COUNTBLANK(O$7:O$126),""),"")</f>
        <v/>
      </c>
      <c r="J46" s="161">
        <f>IF((O46="j"),U46,U46-1000)</f>
        <v>-960</v>
      </c>
      <c r="K46" s="162">
        <f>IF(R46&gt;0,RANK(U46,U$7:U$126,1),"")</f>
        <v>40</v>
      </c>
      <c r="L46" s="168" t="s">
        <v>64</v>
      </c>
      <c r="M46" s="164"/>
      <c r="N46" s="165" t="s">
        <v>193</v>
      </c>
      <c r="O46" s="166"/>
      <c r="P46" s="167"/>
      <c r="Q46" s="192" t="s">
        <v>200</v>
      </c>
      <c r="R46" s="154">
        <f>(IF(COUNT(Z46,AA46,AB46,AC46,AD46,AE46,AF46,AG46,AH46,AI46)&lt;10,SUM(Z46,AA46,AB46,AC46,AD46,AE46,AF46,AG46,AH46,AI46),SUM(LARGE((Z46,AA46,AB46,AC46,AD46,AE46,AF46,AG46,AH46,AI46),{1;2;3;4;5;6;7;8;9}))))</f>
        <v>24</v>
      </c>
      <c r="S46" s="193" t="str">
        <f>INDEX(ETAPP!B$1:B$32,MATCH(COUNTIF(BI46:BR46,1),ETAPP!A$1:A$32,0))&amp;INDEX(ETAPP!B$1:B$32,MATCH(COUNTIF(BI46:BR46,2),ETAPP!A$1:A$32,0))&amp;INDEX(ETAPP!B$1:B$32,MATCH(COUNTIF(BI46:BR46,3),ETAPP!A$1:A$32,0))&amp;INDEX(ETAPP!B$1:B$32,MATCH(COUNTIF(BI46:BR46,4),ETAPP!A$1:A$32,0))&amp;INDEX(ETAPP!B$1:B$32,MATCH(COUNTIF(BI46:BR46,5),ETAPP!A$1:A$32,0))&amp;INDEX(ETAPP!B$1:B$32,MATCH(COUNTIF(BI46:BR46,6),ETAPP!A$1:A$32,0))&amp;INDEX(ETAPP!B$1:B$32,MATCH(COUNTIF(BI46:BR46,7),ETAPP!A$1:A$32,0))&amp;INDEX(ETAPP!B$1:B$32,MATCH(COUNTIF(BI46:BR46,8),ETAPP!A$1:A$32,0))&amp;INDEX(ETAPP!B$1:B$32,MATCH(COUNTIF(BI46:BR46,9),ETAPP!A$1:A$32,0))&amp;INDEX(ETAPP!B$1:B$32,MATCH(COUNTIF(BI46:BR46,10),ETAPP!A$1:A$32,0))&amp;INDEX(ETAPP!B$1:B$32,MATCH(COUNTIF(BI46:BR46,11),ETAPP!A$1:A$32,0))&amp;INDEX(ETAPP!B$1:B$32,MATCH(COUNTIF(BI46:BR46,12),ETAPP!A$1:A$32,0))&amp;INDEX(ETAPP!B$1:B$32,MATCH(COUNTIF(BI46:BR46,13),ETAPP!A$1:A$32,0))&amp;INDEX(ETAPP!B$1:B$32,MATCH(COUNTIF(BI46:BR46,14),ETAPP!A$1:A$32,0))&amp;INDEX(ETAPP!B$1:B$32,MATCH(COUNTIF(BI46:BR46,15),ETAPP!A$1:A$32,0))&amp;INDEX(ETAPP!B$1:B$32,MATCH(COUNTIF(BI46:BR46,16),ETAPP!A$1:A$32,0))&amp;INDEX(ETAPP!B$1:B$32,MATCH(COUNTIF(BI46:BR46,17),ETAPP!A$1:A$32,0))&amp;INDEX(ETAPP!B$1:B$32,MATCH(COUNTIF(BI46:BR46,18),ETAPP!A$1:A$32,0))&amp;INDEX(ETAPP!B$1:B$32,MATCH(COUNTIF(BI46:BR46,19),ETAPP!A$1:A$32,0))&amp;INDEX(ETAPP!B$1:B$32,MATCH(COUNTIF(BI46:BR46,20),ETAPP!A$1:A$32,0))&amp;INDEX(ETAPP!B$1:B$32,MATCH(COUNTIF(BI46:BR46,21),ETAPP!A$1:A$32,0))</f>
        <v>00000000000B000000000</v>
      </c>
      <c r="T46" s="193" t="str">
        <f>TEXT(R46,"000,0")&amp;"-"&amp;S46</f>
        <v>024,0-00000000000B000000000</v>
      </c>
      <c r="U46" s="193">
        <f>COUNTIF(T$7:T$126,"&gt;="&amp;T46)</f>
        <v>40</v>
      </c>
      <c r="V46" s="193">
        <f>COUNTIF(L$7:L$126,"&gt;="&amp;L46)</f>
        <v>85</v>
      </c>
      <c r="W46" s="193" t="str">
        <f>TEXT(R46,"000,0")&amp;"-"&amp;S46&amp;"-"&amp;TEXT(V46,"000")</f>
        <v>024,0-00000000000B000000000-085</v>
      </c>
      <c r="X46" s="193">
        <f>COUNTIF(W$7:W$126,"&gt;="&amp;W46)</f>
        <v>40</v>
      </c>
      <c r="Y46" s="201">
        <f>RANK(X46,X$7:X$126,0)</f>
        <v>81</v>
      </c>
      <c r="Z46" s="202" t="str">
        <f>IFERROR(INDEX('V1'!C$300:C$400,MATCH("*"&amp;L46&amp;"*",'V1'!B$300:B$400,0)),"  ")</f>
        <v>  </v>
      </c>
      <c r="AA46" s="202" t="str">
        <f>IFERROR(INDEX('V2'!C$300:C$400,MATCH("*"&amp;L46&amp;"*",'V2'!B$300:B$400,0)),"  ")</f>
        <v>  </v>
      </c>
      <c r="AB46" s="202" t="str">
        <f>IFERROR(INDEX('V3'!C$300:C$400,MATCH("*"&amp;L46&amp;"*",'V3'!B$300:B$400,0)),"  ")</f>
        <v>  </v>
      </c>
      <c r="AC46" s="202" t="str">
        <f>IFERROR(INDEX('V4'!C$300:C$400,MATCH("*"&amp;L46&amp;"*",'V4'!B$300:B$400,0)),"  ")</f>
        <v>  </v>
      </c>
      <c r="AD46" s="202">
        <f>IFERROR(INDEX('V5'!C$300:C$400,MATCH("*"&amp;L46&amp;"*",'V5'!B$300:B$400,0)),"  ")</f>
        <v>18</v>
      </c>
      <c r="AE46" s="202" t="str">
        <f>IFERROR(INDEX('V6'!C$300:C$400,MATCH("*"&amp;L46&amp;"*",'V6'!B$300:B$400,0)),"  ")</f>
        <v>  </v>
      </c>
      <c r="AF46" s="202">
        <f>IFERROR(INDEX('V7'!C$300:C$400,MATCH("*"&amp;L46&amp;"*",'V7'!B$300:B$400,0)),"  ")</f>
        <v>6</v>
      </c>
      <c r="AG46" s="202" t="str">
        <f>IFERROR(INDEX('V8'!C$300:C$400,MATCH("*"&amp;L46&amp;"*",'V8'!B$300:B$400,0)),"  ")</f>
        <v>  </v>
      </c>
      <c r="AH46" s="202"/>
      <c r="AI46" s="202"/>
      <c r="AJ46" s="222" t="str">
        <f>IF(AN46&gt;(AT$2-1),K46,"")</f>
        <v/>
      </c>
      <c r="AK46" s="223">
        <f>SUM(Z46:AI46)</f>
        <v>24</v>
      </c>
      <c r="AL46" s="224">
        <f>IFERROR("edasi "&amp;RANK(AJ46,AJ$7:AJ$126,1),K46)</f>
        <v>40</v>
      </c>
      <c r="AM46" s="225" t="str">
        <f>IFERROR(INDEX(#REF!,MATCH("*"&amp;L46&amp;"*",#REF!,0)),"  ")</f>
        <v>  </v>
      </c>
      <c r="AN46" s="226">
        <f>COUNTIF(Z46:AI46,"&gt;=0")</f>
        <v>2</v>
      </c>
      <c r="AO46" s="126">
        <f>IFERROR(IF(Z46+1&gt;LARGE(Z$7:Z$126,1)-2*LEN(Z$5),1),0)+IFERROR(IF(AA46+1&gt;LARGE(AA$7:AA$126,1)-2*LEN(AA$5),1),0)+IFERROR(IF(AB46+1&gt;LARGE(AB$7:AB$126,1)-2*LEN(AB$5),1),0)+IFERROR(IF(AC46+1&gt;LARGE(AC$7:AC$126,1)-2*LEN(AC$5),1),0)+IFERROR(IF(AD46+1&gt;LARGE(AD$7:AD$126,1)-2*LEN(AD$5),1),0)+IFERROR(IF(AE46+1&gt;LARGE(AE$7:AE$126,1)-2*LEN(AE$5),1),0)+IFERROR(IF(AF46+1&gt;LARGE(AF$7:AF$126,1)-2*LEN(AF$5),1),0)+IFERROR(IF(AG46+1&gt;LARGE(AG$7:AG$126,1)-2*LEN(AG$5),1),0)+IFERROR(IF(AH46+1&gt;LARGE(AH$7:AH$126,1)-2*LEN(AH$5),1),0)+IFERROR(IF(AI46+1&gt;LARGE(AI$7:AI$126,1)-2*LEN(AI$5),1),0)</f>
        <v>0</v>
      </c>
      <c r="AP46" s="126">
        <f>IF(Z46=0,0,IF(Z46=IFERROR(LARGE(Z$7:Z$126,1),0),1,0))+IF(AA46=0,0,IF(AA46=IFERROR(LARGE(AA$7:AA$126,1),0),1,0))+IF(AB46=0,0,IF(AB46=IFERROR(LARGE(AB$7:AB$126,1),0),1,0))+IF(AC46=0,0,IF(AC46=IFERROR(LARGE(AC$7:AC$126,1),0),1,0))+IF(AD46=0,0,IF(AD46=IFERROR(LARGE(AD$7:AD$126,1),0),1,0))+IF(AE46=0,0,IF(AE46=IFERROR(LARGE(AE$7:AE$126,1),0),1,0))+IF(AF46=0,0,IF(AF46=IFERROR(LARGE(AF$7:AF$126,1),0),1,0))+IF(AG46=0,0,IF(AG46=IFERROR(LARGE(AG$7:AG$126,1),0),1,0))+IF(AH46=0,0,IF(AH46=IFERROR(LARGE(AH$7:AH$126,1),0),1,0))+IF(AI46=0,0,IF(AI46=IFERROR(LARGE(AI$7:AI$126,1),0),1,0))</f>
        <v>0</v>
      </c>
      <c r="AQ46" s="233"/>
      <c r="AR46" s="233"/>
      <c r="AS46" s="233"/>
      <c r="AT46" s="234">
        <f>SMALL(AU46:BD46,AT$3)</f>
        <v>0.0001</v>
      </c>
      <c r="AU46" s="235">
        <f>IF(Z46="  ",0+MID(Z$6,FIND("V",Z$6)+1,256)/10000,Z46+MID(Z$6,FIND("V",Z$6)+1,256)/10000)</f>
        <v>0.0001</v>
      </c>
      <c r="AV46" s="235">
        <f>IF(AA46="  ",0+MID(AA$6,FIND("V",AA$6)+1,256)/10000,AA46+MID(AA$6,FIND("V",AA$6)+1,256)/10000)</f>
        <v>0.0002</v>
      </c>
      <c r="AW46" s="235">
        <f>IF(AB46="  ",0+MID(AB$6,FIND("V",AB$6)+1,256)/10000,AB46+MID(AB$6,FIND("V",AB$6)+1,256)/10000)</f>
        <v>0.0003</v>
      </c>
      <c r="AX46" s="235">
        <f>IF(AC46="  ",0+MID(AC$6,FIND("V",AC$6)+1,256)/10000,AC46+MID(AC$6,FIND("V",AC$6)+1,256)/10000)</f>
        <v>0.0004</v>
      </c>
      <c r="AY46" s="235">
        <f>IF(AD46="  ",0+MID(AD$6,FIND("V",AD$6)+1,256)/10000,AD46+MID(AD$6,FIND("V",AD$6)+1,256)/10000)</f>
        <v>18.0005</v>
      </c>
      <c r="AZ46" s="235">
        <f>IF(AE46="  ",0+MID(AE$6,FIND("V",AE$6)+1,256)/10000,AE46+MID(AE$6,FIND("V",AE$6)+1,256)/10000)</f>
        <v>0.0006</v>
      </c>
      <c r="BA46" s="235">
        <f>IF(AF46="  ",0+MID(AF$6,FIND("V",AF$6)+1,256)/10000,AF46+MID(AF$6,FIND("V",AF$6)+1,256)/10000)</f>
        <v>6.0007</v>
      </c>
      <c r="BB46" s="235">
        <f>IF(AG46="  ",0+MID(AG$6,FIND("V",AG$6)+1,256)/10000,AG46+MID(AG$6,FIND("V",AG$6)+1,256)/10000)</f>
        <v>0.0008</v>
      </c>
      <c r="BC46" s="235">
        <f>IF(AH46="  ",0+MID(AH$6,FIND("V",AH$6)+1,256)/10000,AH46+MID(AH$6,FIND("V",AH$6)+1,256)/10000)</f>
        <v>0.0009</v>
      </c>
      <c r="BD46" s="235">
        <f>IF(AI46="  ",0+MID(AI$6,FIND("V",AI$6)+1,256)/10000,AI46+MID(AI$6,FIND("V",AI$6)+1,256)/10000)</f>
        <v>0.001</v>
      </c>
      <c r="BE46" s="233"/>
      <c r="BF46" s="233"/>
      <c r="BG46" s="233"/>
      <c r="BH46" s="233"/>
      <c r="BI46" s="3" t="e">
        <f>(LARGE(Z$7:Z$126,1)-Z46)/2+1</f>
        <v>#VALUE!</v>
      </c>
      <c r="BJ46" s="3" t="e">
        <f>(LARGE(AA$7:AA$126,1)-AA46)/2+1</f>
        <v>#VALUE!</v>
      </c>
      <c r="BK46" s="3" t="e">
        <f>(LARGE(AB$7:AB$126,1)-AB46)/2+1</f>
        <v>#VALUE!</v>
      </c>
      <c r="BL46" s="3" t="e">
        <f>(LARGE(AC$7:AC$126,1)-AC46)/2+1</f>
        <v>#VALUE!</v>
      </c>
      <c r="BM46" s="3">
        <f>(LARGE(AD$7:AD$126,1)-AD46)/2+1</f>
        <v>12</v>
      </c>
      <c r="BN46" s="3" t="e">
        <f>(LARGE(AE$7:AE$126,1)-AE46)/2+1</f>
        <v>#VALUE!</v>
      </c>
      <c r="BO46" s="3">
        <f>(LARGE(AF$7:AF$126,1)-AF46)/2+1</f>
        <v>12</v>
      </c>
      <c r="BP46" s="3" t="e">
        <f>(LARGE(AG$7:AG$126,1)-AG46)/2+1</f>
        <v>#VALUE!</v>
      </c>
      <c r="BQ46" s="3" t="e">
        <f>(LARGE(AH$7:AH$126,1)-AH46)/2+1</f>
        <v>#NUM!</v>
      </c>
      <c r="BR46" s="3" t="e">
        <f>(LARGE(AI$7:AI$126,1)-AI46)/2+1</f>
        <v>#NUM!</v>
      </c>
    </row>
    <row r="47" ht="12.75" customHeight="1" spans="1:70">
      <c r="A47" s="139" t="str">
        <f>IF(R47&gt;0,IF(Q47="Viru SK",RANK(B47,B$7:B$126,1)-COUNTIF((Q$7:Q$126),"&lt;&gt;Viru SK"),""),"")</f>
        <v/>
      </c>
      <c r="B47" s="140">
        <f>IF((Q47="Viru SK"),U47,U47-1000)</f>
        <v>-959</v>
      </c>
      <c r="C47" s="141" t="str">
        <f>IF(R47&gt;0,IF(P47="t",RANK(D47,D$7:D$126,1)-COUNTBLANK(P$7:P$126),""),"")</f>
        <v/>
      </c>
      <c r="D47" s="142">
        <f>IF((P47="t"),U47,U47-1000)</f>
        <v>-959</v>
      </c>
      <c r="E47" s="143" t="str">
        <f>IF(R47&gt;0,IF(N47="m",RANK(F47,F$7:F$126,1)-COUNTBLANK(N$7:N$126),""),"")</f>
        <v/>
      </c>
      <c r="F47" s="144">
        <f>IF((N47="m"),U47,U47-1000)</f>
        <v>-959</v>
      </c>
      <c r="G47" s="145">
        <f>IF(R47&gt;0,IF(M47="n",RANK(H47,H$7:H$126,1)-COUNTBLANK(M$7:M$126),""),"")</f>
        <v>9</v>
      </c>
      <c r="H47" s="144">
        <f>IF((M47="n"),U47,U47-1000)</f>
        <v>41</v>
      </c>
      <c r="I47" s="160" t="str">
        <f>IF(R47&gt;0,IF(O47="j",RANK(J47,J$7:J$126,1)-COUNTBLANK(O$7:O$126),""),"")</f>
        <v/>
      </c>
      <c r="J47" s="161">
        <f>IF((O47="j"),U47,U47-1000)</f>
        <v>-959</v>
      </c>
      <c r="K47" s="162">
        <f>IF(R47&gt;0,RANK(U47,U$7:U$126,1),"")</f>
        <v>41</v>
      </c>
      <c r="L47" s="168" t="s">
        <v>236</v>
      </c>
      <c r="M47" s="164" t="s">
        <v>203</v>
      </c>
      <c r="N47" s="165"/>
      <c r="O47" s="166"/>
      <c r="P47" s="167"/>
      <c r="Q47" s="192" t="s">
        <v>200</v>
      </c>
      <c r="R47" s="154">
        <f>(IF(COUNT(Z47,AA47,AB47,AC47,AD47,AE47,AF47,AG47,AH47,AI47)&lt;10,SUM(Z47,AA47,AB47,AC47,AD47,AE47,AF47,AG47,AH47,AI47),SUM(LARGE((Z47,AA47,AB47,AC47,AD47,AE47,AF47,AG47,AH47,AI47),{1;2;3;4;5;6;7;8;9}))))</f>
        <v>20</v>
      </c>
      <c r="S47" s="193" t="str">
        <f>INDEX(ETAPP!B$1:B$32,MATCH(COUNTIF(BI47:BR47,1),ETAPP!A$1:A$32,0))&amp;INDEX(ETAPP!B$1:B$32,MATCH(COUNTIF(BI47:BR47,2),ETAPP!A$1:A$32,0))&amp;INDEX(ETAPP!B$1:B$32,MATCH(COUNTIF(BI47:BR47,3),ETAPP!A$1:A$32,0))&amp;INDEX(ETAPP!B$1:B$32,MATCH(COUNTIF(BI47:BR47,4),ETAPP!A$1:A$32,0))&amp;INDEX(ETAPP!B$1:B$32,MATCH(COUNTIF(BI47:BR47,5),ETAPP!A$1:A$32,0))&amp;INDEX(ETAPP!B$1:B$32,MATCH(COUNTIF(BI47:BR47,6),ETAPP!A$1:A$32,0))&amp;INDEX(ETAPP!B$1:B$32,MATCH(COUNTIF(BI47:BR47,7),ETAPP!A$1:A$32,0))&amp;INDEX(ETAPP!B$1:B$32,MATCH(COUNTIF(BI47:BR47,8),ETAPP!A$1:A$32,0))&amp;INDEX(ETAPP!B$1:B$32,MATCH(COUNTIF(BI47:BR47,9),ETAPP!A$1:A$32,0))&amp;INDEX(ETAPP!B$1:B$32,MATCH(COUNTIF(BI47:BR47,10),ETAPP!A$1:A$32,0))&amp;INDEX(ETAPP!B$1:B$32,MATCH(COUNTIF(BI47:BR47,11),ETAPP!A$1:A$32,0))&amp;INDEX(ETAPP!B$1:B$32,MATCH(COUNTIF(BI47:BR47,12),ETAPP!A$1:A$32,0))&amp;INDEX(ETAPP!B$1:B$32,MATCH(COUNTIF(BI47:BR47,13),ETAPP!A$1:A$32,0))&amp;INDEX(ETAPP!B$1:B$32,MATCH(COUNTIF(BI47:BR47,14),ETAPP!A$1:A$32,0))&amp;INDEX(ETAPP!B$1:B$32,MATCH(COUNTIF(BI47:BR47,15),ETAPP!A$1:A$32,0))&amp;INDEX(ETAPP!B$1:B$32,MATCH(COUNTIF(BI47:BR47,16),ETAPP!A$1:A$32,0))&amp;INDEX(ETAPP!B$1:B$32,MATCH(COUNTIF(BI47:BR47,17),ETAPP!A$1:A$32,0))&amp;INDEX(ETAPP!B$1:B$32,MATCH(COUNTIF(BI47:BR47,18),ETAPP!A$1:A$32,0))&amp;INDEX(ETAPP!B$1:B$32,MATCH(COUNTIF(BI47:BR47,19),ETAPP!A$1:A$32,0))&amp;INDEX(ETAPP!B$1:B$32,MATCH(COUNTIF(BI47:BR47,20),ETAPP!A$1:A$32,0))&amp;INDEX(ETAPP!B$1:B$32,MATCH(COUNTIF(BI47:BR47,21),ETAPP!A$1:A$32,0))</f>
        <v>0000000A000A000000000</v>
      </c>
      <c r="T47" s="193" t="str">
        <f>TEXT(R47,"000,0")&amp;"-"&amp;S47</f>
        <v>020,0-0000000A000A000000000</v>
      </c>
      <c r="U47" s="193">
        <f>COUNTIF(T$7:T$126,"&gt;="&amp;T47)</f>
        <v>41</v>
      </c>
      <c r="V47" s="193">
        <f>COUNTIF(L$7:L$126,"&gt;="&amp;L47)</f>
        <v>24</v>
      </c>
      <c r="W47" s="193" t="str">
        <f>TEXT(R47,"000,0")&amp;"-"&amp;S47&amp;"-"&amp;TEXT(V47,"000")</f>
        <v>020,0-0000000A000A000000000-024</v>
      </c>
      <c r="X47" s="193">
        <f>COUNTIF(W$7:W$126,"&gt;="&amp;W47)</f>
        <v>41</v>
      </c>
      <c r="Y47" s="201">
        <f>RANK(X47,X$7:X$126,0)</f>
        <v>80</v>
      </c>
      <c r="Z47" s="202" t="str">
        <f>IFERROR(INDEX('V1'!C$300:C$400,MATCH("*"&amp;L47&amp;"*",'V1'!B$300:B$400,0)),"  ")</f>
        <v>  </v>
      </c>
      <c r="AA47" s="202">
        <f>IFERROR(INDEX('V2'!C$300:C$400,MATCH("*"&amp;L47&amp;"*",'V2'!B$300:B$400,0)),"  ")</f>
        <v>14</v>
      </c>
      <c r="AB47" s="202" t="str">
        <f>IFERROR(INDEX('V3'!C$300:C$400,MATCH("*"&amp;L47&amp;"*",'V3'!B$300:B$400,0)),"  ")</f>
        <v>  </v>
      </c>
      <c r="AC47" s="202" t="str">
        <f>IFERROR(INDEX('V4'!C$300:C$400,MATCH("*"&amp;L47&amp;"*",'V4'!B$300:B$400,0)),"  ")</f>
        <v>  </v>
      </c>
      <c r="AD47" s="202" t="str">
        <f>IFERROR(INDEX('V5'!C$300:C$400,MATCH("*"&amp;L47&amp;"*",'V5'!B$300:B$400,0)),"  ")</f>
        <v>  </v>
      </c>
      <c r="AE47" s="202" t="str">
        <f>IFERROR(INDEX('V6'!C$300:C$400,MATCH("*"&amp;L47&amp;"*",'V6'!B$300:B$400,0)),"  ")</f>
        <v>  </v>
      </c>
      <c r="AF47" s="202">
        <f>IFERROR(INDEX('V7'!C$300:C$400,MATCH("*"&amp;L47&amp;"*",'V7'!B$300:B$400,0)),"  ")</f>
        <v>6</v>
      </c>
      <c r="AG47" s="202" t="str">
        <f>IFERROR(INDEX('V8'!C$300:C$400,MATCH("*"&amp;L47&amp;"*",'V8'!B$300:B$400,0)),"  ")</f>
        <v>  </v>
      </c>
      <c r="AH47" s="202"/>
      <c r="AI47" s="202"/>
      <c r="AJ47" s="222" t="str">
        <f>IF(AN47&gt;(AT$2-1),K47,"")</f>
        <v/>
      </c>
      <c r="AK47" s="223">
        <f>SUM(Z47:AI47)</f>
        <v>20</v>
      </c>
      <c r="AL47" s="224">
        <f>IFERROR("edasi "&amp;RANK(AJ47,AJ$7:AJ$126,1),K47)</f>
        <v>41</v>
      </c>
      <c r="AM47" s="225" t="str">
        <f>IFERROR(INDEX(#REF!,MATCH("*"&amp;L47&amp;"*",#REF!,0)),"  ")</f>
        <v>  </v>
      </c>
      <c r="AN47" s="226">
        <f>COUNTIF(Z47:AI47,"&gt;=0")</f>
        <v>2</v>
      </c>
      <c r="AO47" s="126">
        <f>IFERROR(IF(Z47+1&gt;LARGE(Z$7:Z$126,1)-2*LEN(Z$5),1),0)+IFERROR(IF(AA47+1&gt;LARGE(AA$7:AA$126,1)-2*LEN(AA$5),1),0)+IFERROR(IF(AB47+1&gt;LARGE(AB$7:AB$126,1)-2*LEN(AB$5),1),0)+IFERROR(IF(AC47+1&gt;LARGE(AC$7:AC$126,1)-2*LEN(AC$5),1),0)+IFERROR(IF(AD47+1&gt;LARGE(AD$7:AD$126,1)-2*LEN(AD$5),1),0)+IFERROR(IF(AE47+1&gt;LARGE(AE$7:AE$126,1)-2*LEN(AE$5),1),0)+IFERROR(IF(AF47+1&gt;LARGE(AF$7:AF$126,1)-2*LEN(AF$5),1),0)+IFERROR(IF(AG47+1&gt;LARGE(AG$7:AG$126,1)-2*LEN(AG$5),1),0)+IFERROR(IF(AH47+1&gt;LARGE(AH$7:AH$126,1)-2*LEN(AH$5),1),0)+IFERROR(IF(AI47+1&gt;LARGE(AI$7:AI$126,1)-2*LEN(AI$5),1),0)</f>
        <v>0</v>
      </c>
      <c r="AP47" s="126">
        <f>IF(Z47=0,0,IF(Z47=IFERROR(LARGE(Z$7:Z$126,1),0),1,0))+IF(AA47=0,0,IF(AA47=IFERROR(LARGE(AA$7:AA$126,1),0),1,0))+IF(AB47=0,0,IF(AB47=IFERROR(LARGE(AB$7:AB$126,1),0),1,0))+IF(AC47=0,0,IF(AC47=IFERROR(LARGE(AC$7:AC$126,1),0),1,0))+IF(AD47=0,0,IF(AD47=IFERROR(LARGE(AD$7:AD$126,1),0),1,0))+IF(AE47=0,0,IF(AE47=IFERROR(LARGE(AE$7:AE$126,1),0),1,0))+IF(AF47=0,0,IF(AF47=IFERROR(LARGE(AF$7:AF$126,1),0),1,0))+IF(AG47=0,0,IF(AG47=IFERROR(LARGE(AG$7:AG$126,1),0),1,0))+IF(AH47=0,0,IF(AH47=IFERROR(LARGE(AH$7:AH$126,1),0),1,0))+IF(AI47=0,0,IF(AI47=IFERROR(LARGE(AI$7:AI$126,1),0),1,0))</f>
        <v>0</v>
      </c>
      <c r="AQ47" s="233"/>
      <c r="AR47" s="233"/>
      <c r="AS47" s="233"/>
      <c r="AT47" s="234">
        <f>SMALL(AU47:BD47,AT$3)</f>
        <v>0.0001</v>
      </c>
      <c r="AU47" s="235">
        <f>IF(Z47="  ",0+MID(Z$6,FIND("V",Z$6)+1,256)/10000,Z47+MID(Z$6,FIND("V",Z$6)+1,256)/10000)</f>
        <v>0.0001</v>
      </c>
      <c r="AV47" s="235">
        <f>IF(AA47="  ",0+MID(AA$6,FIND("V",AA$6)+1,256)/10000,AA47+MID(AA$6,FIND("V",AA$6)+1,256)/10000)</f>
        <v>14.0002</v>
      </c>
      <c r="AW47" s="235">
        <f>IF(AB47="  ",0+MID(AB$6,FIND("V",AB$6)+1,256)/10000,AB47+MID(AB$6,FIND("V",AB$6)+1,256)/10000)</f>
        <v>0.0003</v>
      </c>
      <c r="AX47" s="235">
        <f>IF(AC47="  ",0+MID(AC$6,FIND("V",AC$6)+1,256)/10000,AC47+MID(AC$6,FIND("V",AC$6)+1,256)/10000)</f>
        <v>0.0004</v>
      </c>
      <c r="AY47" s="235">
        <f>IF(AD47="  ",0+MID(AD$6,FIND("V",AD$6)+1,256)/10000,AD47+MID(AD$6,FIND("V",AD$6)+1,256)/10000)</f>
        <v>0.0005</v>
      </c>
      <c r="AZ47" s="235">
        <f>IF(AE47="  ",0+MID(AE$6,FIND("V",AE$6)+1,256)/10000,AE47+MID(AE$6,FIND("V",AE$6)+1,256)/10000)</f>
        <v>0.0006</v>
      </c>
      <c r="BA47" s="235">
        <f>IF(AF47="  ",0+MID(AF$6,FIND("V",AF$6)+1,256)/10000,AF47+MID(AF$6,FIND("V",AF$6)+1,256)/10000)</f>
        <v>6.0007</v>
      </c>
      <c r="BB47" s="235">
        <f>IF(AG47="  ",0+MID(AG$6,FIND("V",AG$6)+1,256)/10000,AG47+MID(AG$6,FIND("V",AG$6)+1,256)/10000)</f>
        <v>0.0008</v>
      </c>
      <c r="BC47" s="235">
        <f>IF(AH47="  ",0+MID(AH$6,FIND("V",AH$6)+1,256)/10000,AH47+MID(AH$6,FIND("V",AH$6)+1,256)/10000)</f>
        <v>0.0009</v>
      </c>
      <c r="BD47" s="235">
        <f>IF(AI47="  ",0+MID(AI$6,FIND("V",AI$6)+1,256)/10000,AI47+MID(AI$6,FIND("V",AI$6)+1,256)/10000)</f>
        <v>0.001</v>
      </c>
      <c r="BE47" s="233"/>
      <c r="BF47" s="233"/>
      <c r="BG47" s="233"/>
      <c r="BH47" s="233"/>
      <c r="BI47" s="3" t="e">
        <f>(LARGE(Z$7:Z$126,1)-Z47)/2+1</f>
        <v>#VALUE!</v>
      </c>
      <c r="BJ47" s="3">
        <f>(LARGE(AA$7:AA$126,1)-AA47)/2+1</f>
        <v>8</v>
      </c>
      <c r="BK47" s="3" t="e">
        <f>(LARGE(AB$7:AB$126,1)-AB47)/2+1</f>
        <v>#VALUE!</v>
      </c>
      <c r="BL47" s="3" t="e">
        <f>(LARGE(AC$7:AC$126,1)-AC47)/2+1</f>
        <v>#VALUE!</v>
      </c>
      <c r="BM47" s="3" t="e">
        <f>(LARGE(AD$7:AD$126,1)-AD47)/2+1</f>
        <v>#VALUE!</v>
      </c>
      <c r="BN47" s="3" t="e">
        <f>(LARGE(AE$7:AE$126,1)-AE47)/2+1</f>
        <v>#VALUE!</v>
      </c>
      <c r="BO47" s="3">
        <f>(LARGE(AF$7:AF$126,1)-AF47)/2+1</f>
        <v>12</v>
      </c>
      <c r="BP47" s="3" t="e">
        <f>(LARGE(AG$7:AG$126,1)-AG47)/2+1</f>
        <v>#VALUE!</v>
      </c>
      <c r="BQ47" s="3" t="e">
        <f>(LARGE(AH$7:AH$126,1)-AH47)/2+1</f>
        <v>#NUM!</v>
      </c>
      <c r="BR47" s="3" t="e">
        <f>(LARGE(AI$7:AI$126,1)-AI47)/2+1</f>
        <v>#NUM!</v>
      </c>
    </row>
    <row r="48" ht="12.75" customHeight="1" spans="1:70">
      <c r="A48" s="139" t="str">
        <f>IF(R48&gt;0,IF(Q48="Viru SK",RANK(B48,B$7:B$126,1)-COUNTIF((Q$7:Q$126),"&lt;&gt;Viru SK"),""),"")</f>
        <v/>
      </c>
      <c r="B48" s="140">
        <f>IF((Q48="Viru SK"),U48,U48-1000)</f>
        <v>-958</v>
      </c>
      <c r="C48" s="141" t="str">
        <f>IF(R48&gt;0,IF(P48="t",RANK(D48,D$7:D$126,1)-COUNTBLANK(P$7:P$126),""),"")</f>
        <v/>
      </c>
      <c r="D48" s="142">
        <f>IF((P48="t"),U48,U48-1000)</f>
        <v>-958</v>
      </c>
      <c r="E48" s="143">
        <f>IF(R48&gt;0,IF(N48="m",RANK(F48,F$7:F$126,1)-COUNTBLANK(N$7:N$126),""),"")</f>
        <v>34</v>
      </c>
      <c r="F48" s="144">
        <f>IF((N48="m"),U48,U48-1000)</f>
        <v>42</v>
      </c>
      <c r="G48" s="145" t="str">
        <f>IF(R48&gt;0,IF(M48="n",RANK(H48,H$7:H$126,1)-COUNTBLANK(M$7:M$126),""),"")</f>
        <v/>
      </c>
      <c r="H48" s="144">
        <f>IF((M48="n"),U48,U48-1000)</f>
        <v>-958</v>
      </c>
      <c r="I48" s="160" t="str">
        <f>IF(R48&gt;0,IF(O48="j",RANK(J48,J$7:J$126,1)-COUNTBLANK(O$7:O$126),""),"")</f>
        <v/>
      </c>
      <c r="J48" s="161">
        <f>IF((O48="j"),U48,U48-1000)</f>
        <v>-958</v>
      </c>
      <c r="K48" s="162">
        <f>IF(R48&gt;0,RANK(U48,U$7:U$126,1),"")</f>
        <v>42</v>
      </c>
      <c r="L48" s="163" t="s">
        <v>237</v>
      </c>
      <c r="M48" s="164"/>
      <c r="N48" s="165" t="s">
        <v>193</v>
      </c>
      <c r="O48" s="166"/>
      <c r="P48" s="167"/>
      <c r="Q48" s="192" t="s">
        <v>200</v>
      </c>
      <c r="R48" s="154">
        <f>(IF(COUNT(Z48,AA48,AB48,AC48,AD48,AE48,AF48,AG48,AH48,AI48)&lt;10,SUM(Z48,AA48,AB48,AC48,AD48,AE48,AF48,AG48,AH48,AI48),SUM(LARGE((Z48,AA48,AB48,AC48,AD48,AE48,AF48,AG48,AH48,AI48),{1;2;3;4;5;6;7;8;9}))))</f>
        <v>18</v>
      </c>
      <c r="S48" s="193" t="str">
        <f>INDEX(ETAPP!B$1:B$32,MATCH(COUNTIF(BI48:BR48,1),ETAPP!A$1:A$32,0))&amp;INDEX(ETAPP!B$1:B$32,MATCH(COUNTIF(BI48:BR48,2),ETAPP!A$1:A$32,0))&amp;INDEX(ETAPP!B$1:B$32,MATCH(COUNTIF(BI48:BR48,3),ETAPP!A$1:A$32,0))&amp;INDEX(ETAPP!B$1:B$32,MATCH(COUNTIF(BI48:BR48,4),ETAPP!A$1:A$32,0))&amp;INDEX(ETAPP!B$1:B$32,MATCH(COUNTIF(BI48:BR48,5),ETAPP!A$1:A$32,0))&amp;INDEX(ETAPP!B$1:B$32,MATCH(COUNTIF(BI48:BR48,6),ETAPP!A$1:A$32,0))&amp;INDEX(ETAPP!B$1:B$32,MATCH(COUNTIF(BI48:BR48,7),ETAPP!A$1:A$32,0))&amp;INDEX(ETAPP!B$1:B$32,MATCH(COUNTIF(BI48:BR48,8),ETAPP!A$1:A$32,0))&amp;INDEX(ETAPP!B$1:B$32,MATCH(COUNTIF(BI48:BR48,9),ETAPP!A$1:A$32,0))&amp;INDEX(ETAPP!B$1:B$32,MATCH(COUNTIF(BI48:BR48,10),ETAPP!A$1:A$32,0))&amp;INDEX(ETAPP!B$1:B$32,MATCH(COUNTIF(BI48:BR48,11),ETAPP!A$1:A$32,0))&amp;INDEX(ETAPP!B$1:B$32,MATCH(COUNTIF(BI48:BR48,12),ETAPP!A$1:A$32,0))&amp;INDEX(ETAPP!B$1:B$32,MATCH(COUNTIF(BI48:BR48,13),ETAPP!A$1:A$32,0))&amp;INDEX(ETAPP!B$1:B$32,MATCH(COUNTIF(BI48:BR48,14),ETAPP!A$1:A$32,0))&amp;INDEX(ETAPP!B$1:B$32,MATCH(COUNTIF(BI48:BR48,15),ETAPP!A$1:A$32,0))&amp;INDEX(ETAPP!B$1:B$32,MATCH(COUNTIF(BI48:BR48,16),ETAPP!A$1:A$32,0))&amp;INDEX(ETAPP!B$1:B$32,MATCH(COUNTIF(BI48:BR48,17),ETAPP!A$1:A$32,0))&amp;INDEX(ETAPP!B$1:B$32,MATCH(COUNTIF(BI48:BR48,18),ETAPP!A$1:A$32,0))&amp;INDEX(ETAPP!B$1:B$32,MATCH(COUNTIF(BI48:BR48,19),ETAPP!A$1:A$32,0))&amp;INDEX(ETAPP!B$1:B$32,MATCH(COUNTIF(BI48:BR48,20),ETAPP!A$1:A$32,0))&amp;INDEX(ETAPP!B$1:B$32,MATCH(COUNTIF(BI48:BR48,21),ETAPP!A$1:A$32,0))</f>
        <v>00000000000A000000000</v>
      </c>
      <c r="T48" s="193" t="str">
        <f>TEXT(R48,"000,0")&amp;"-"&amp;S48</f>
        <v>018,0-00000000000A000000000</v>
      </c>
      <c r="U48" s="193">
        <f>COUNTIF(T$7:T$126,"&gt;="&amp;T48)</f>
        <v>42</v>
      </c>
      <c r="V48" s="193">
        <f>COUNTIF(L$7:L$126,"&gt;="&amp;L48)</f>
        <v>64</v>
      </c>
      <c r="W48" s="193" t="str">
        <f>TEXT(R48,"000,0")&amp;"-"&amp;S48&amp;"-"&amp;TEXT(V48,"000")</f>
        <v>018,0-00000000000A000000000-064</v>
      </c>
      <c r="X48" s="193">
        <f>COUNTIF(W$7:W$126,"&gt;="&amp;W48)</f>
        <v>42</v>
      </c>
      <c r="Y48" s="201">
        <f>RANK(X48,X$7:X$126,0)</f>
        <v>79</v>
      </c>
      <c r="Z48" s="202" t="str">
        <f>IFERROR(INDEX('V1'!C$300:C$400,MATCH("*"&amp;L48&amp;"*",'V1'!B$300:B$400,0)),"  ")</f>
        <v>  </v>
      </c>
      <c r="AA48" s="202" t="str">
        <f>IFERROR(INDEX('V2'!C$300:C$400,MATCH("*"&amp;L48&amp;"*",'V2'!B$300:B$400,0)),"  ")</f>
        <v>  </v>
      </c>
      <c r="AB48" s="202" t="str">
        <f>IFERROR(INDEX('V3'!C$300:C$400,MATCH("*"&amp;L48&amp;"*",'V3'!B$300:B$400,0)),"  ")</f>
        <v>  </v>
      </c>
      <c r="AC48" s="202" t="str">
        <f>IFERROR(INDEX('V4'!C$300:C$400,MATCH("*"&amp;L48&amp;"*",'V4'!B$300:B$400,0)),"  ")</f>
        <v>  </v>
      </c>
      <c r="AD48" s="202">
        <f>IFERROR(INDEX('V5'!C$300:C$400,MATCH("*"&amp;L48&amp;"*",'V5'!B$300:B$400,0)),"  ")</f>
        <v>18</v>
      </c>
      <c r="AE48" s="202" t="str">
        <f>IFERROR(INDEX('V6'!C$300:C$400,MATCH("*"&amp;L48&amp;"*",'V6'!B$300:B$400,0)),"  ")</f>
        <v>  </v>
      </c>
      <c r="AF48" s="202" t="str">
        <f>IFERROR(INDEX('V7'!C$300:C$400,MATCH("*"&amp;L48&amp;"*",'V7'!B$300:B$400,0)),"  ")</f>
        <v>  </v>
      </c>
      <c r="AG48" s="202" t="str">
        <f>IFERROR(INDEX('V8'!C$300:C$400,MATCH("*"&amp;L48&amp;"*",'V8'!B$300:B$400,0)),"  ")</f>
        <v>  </v>
      </c>
      <c r="AH48" s="202"/>
      <c r="AI48" s="202"/>
      <c r="AJ48" s="222" t="str">
        <f>IF(AN48&gt;(AT$2-1),K48,"")</f>
        <v/>
      </c>
      <c r="AK48" s="223">
        <f>SUM(Z48:AI48)</f>
        <v>18</v>
      </c>
      <c r="AL48" s="224">
        <f>IFERROR("edasi "&amp;RANK(AJ48,AJ$7:AJ$126,1),K48)</f>
        <v>42</v>
      </c>
      <c r="AM48" s="225" t="str">
        <f>IFERROR(INDEX(#REF!,MATCH("*"&amp;L48&amp;"*",#REF!,0)),"  ")</f>
        <v>  </v>
      </c>
      <c r="AN48" s="226">
        <f>COUNTIF(Z48:AI48,"&gt;=0")</f>
        <v>1</v>
      </c>
      <c r="AO48" s="126">
        <f>IFERROR(IF(Z48+1&gt;LARGE(Z$7:Z$126,1)-2*LEN(Z$5),1),0)+IFERROR(IF(AA48+1&gt;LARGE(AA$7:AA$126,1)-2*LEN(AA$5),1),0)+IFERROR(IF(AB48+1&gt;LARGE(AB$7:AB$126,1)-2*LEN(AB$5),1),0)+IFERROR(IF(AC48+1&gt;LARGE(AC$7:AC$126,1)-2*LEN(AC$5),1),0)+IFERROR(IF(AD48+1&gt;LARGE(AD$7:AD$126,1)-2*LEN(AD$5),1),0)+IFERROR(IF(AE48+1&gt;LARGE(AE$7:AE$126,1)-2*LEN(AE$5),1),0)+IFERROR(IF(AF48+1&gt;LARGE(AF$7:AF$126,1)-2*LEN(AF$5),1),0)+IFERROR(IF(AG48+1&gt;LARGE(AG$7:AG$126,1)-2*LEN(AG$5),1),0)+IFERROR(IF(AH48+1&gt;LARGE(AH$7:AH$126,1)-2*LEN(AH$5),1),0)+IFERROR(IF(AI48+1&gt;LARGE(AI$7:AI$126,1)-2*LEN(AI$5),1),0)</f>
        <v>0</v>
      </c>
      <c r="AP48" s="126">
        <f>IF(Z48=0,0,IF(Z48=IFERROR(LARGE(Z$7:Z$126,1),0),1,0))+IF(AA48=0,0,IF(AA48=IFERROR(LARGE(AA$7:AA$126,1),0),1,0))+IF(AB48=0,0,IF(AB48=IFERROR(LARGE(AB$7:AB$126,1),0),1,0))+IF(AC48=0,0,IF(AC48=IFERROR(LARGE(AC$7:AC$126,1),0),1,0))+IF(AD48=0,0,IF(AD48=IFERROR(LARGE(AD$7:AD$126,1),0),1,0))+IF(AE48=0,0,IF(AE48=IFERROR(LARGE(AE$7:AE$126,1),0),1,0))+IF(AF48=0,0,IF(AF48=IFERROR(LARGE(AF$7:AF$126,1),0),1,0))+IF(AG48=0,0,IF(AG48=IFERROR(LARGE(AG$7:AG$126,1),0),1,0))+IF(AH48=0,0,IF(AH48=IFERROR(LARGE(AH$7:AH$126,1),0),1,0))+IF(AI48=0,0,IF(AI48=IFERROR(LARGE(AI$7:AI$126,1),0),1,0))</f>
        <v>0</v>
      </c>
      <c r="AQ48" s="233"/>
      <c r="AR48" s="233"/>
      <c r="AS48" s="233"/>
      <c r="AT48" s="234">
        <f>SMALL(AU48:BD48,AT$3)</f>
        <v>0.0001</v>
      </c>
      <c r="AU48" s="235">
        <f>IF(Z48="  ",0+MID(Z$6,FIND("V",Z$6)+1,256)/10000,Z48+MID(Z$6,FIND("V",Z$6)+1,256)/10000)</f>
        <v>0.0001</v>
      </c>
      <c r="AV48" s="235">
        <f>IF(AA48="  ",0+MID(AA$6,FIND("V",AA$6)+1,256)/10000,AA48+MID(AA$6,FIND("V",AA$6)+1,256)/10000)</f>
        <v>0.0002</v>
      </c>
      <c r="AW48" s="235">
        <f>IF(AB48="  ",0+MID(AB$6,FIND("V",AB$6)+1,256)/10000,AB48+MID(AB$6,FIND("V",AB$6)+1,256)/10000)</f>
        <v>0.0003</v>
      </c>
      <c r="AX48" s="235">
        <f>IF(AC48="  ",0+MID(AC$6,FIND("V",AC$6)+1,256)/10000,AC48+MID(AC$6,FIND("V",AC$6)+1,256)/10000)</f>
        <v>0.0004</v>
      </c>
      <c r="AY48" s="235">
        <f>IF(AD48="  ",0+MID(AD$6,FIND("V",AD$6)+1,256)/10000,AD48+MID(AD$6,FIND("V",AD$6)+1,256)/10000)</f>
        <v>18.0005</v>
      </c>
      <c r="AZ48" s="235">
        <f>IF(AE48="  ",0+MID(AE$6,FIND("V",AE$6)+1,256)/10000,AE48+MID(AE$6,FIND("V",AE$6)+1,256)/10000)</f>
        <v>0.0006</v>
      </c>
      <c r="BA48" s="235">
        <f>IF(AF48="  ",0+MID(AF$6,FIND("V",AF$6)+1,256)/10000,AF48+MID(AF$6,FIND("V",AF$6)+1,256)/10000)</f>
        <v>0.0007</v>
      </c>
      <c r="BB48" s="235">
        <f>IF(AG48="  ",0+MID(AG$6,FIND("V",AG$6)+1,256)/10000,AG48+MID(AG$6,FIND("V",AG$6)+1,256)/10000)</f>
        <v>0.0008</v>
      </c>
      <c r="BC48" s="235">
        <f>IF(AH48="  ",0+MID(AH$6,FIND("V",AH$6)+1,256)/10000,AH48+MID(AH$6,FIND("V",AH$6)+1,256)/10000)</f>
        <v>0.0009</v>
      </c>
      <c r="BD48" s="235">
        <f>IF(AI48="  ",0+MID(AI$6,FIND("V",AI$6)+1,256)/10000,AI48+MID(AI$6,FIND("V",AI$6)+1,256)/10000)</f>
        <v>0.001</v>
      </c>
      <c r="BE48" s="233"/>
      <c r="BF48" s="233"/>
      <c r="BG48" s="233"/>
      <c r="BH48" s="233"/>
      <c r="BI48" s="3" t="e">
        <f>(LARGE(Z$7:Z$126,1)-Z48)/2+1</f>
        <v>#VALUE!</v>
      </c>
      <c r="BJ48" s="3" t="e">
        <f>(LARGE(AA$7:AA$126,1)-AA48)/2+1</f>
        <v>#VALUE!</v>
      </c>
      <c r="BK48" s="3" t="e">
        <f>(LARGE(AB$7:AB$126,1)-AB48)/2+1</f>
        <v>#VALUE!</v>
      </c>
      <c r="BL48" s="3" t="e">
        <f>(LARGE(AC$7:AC$126,1)-AC48)/2+1</f>
        <v>#VALUE!</v>
      </c>
      <c r="BM48" s="3">
        <f>(LARGE(AD$7:AD$126,1)-AD48)/2+1</f>
        <v>12</v>
      </c>
      <c r="BN48" s="3" t="e">
        <f>(LARGE(AE$7:AE$126,1)-AE48)/2+1</f>
        <v>#VALUE!</v>
      </c>
      <c r="BO48" s="3" t="e">
        <f>(LARGE(AF$7:AF$126,1)-AF48)/2+1</f>
        <v>#VALUE!</v>
      </c>
      <c r="BP48" s="3" t="e">
        <f>(LARGE(AG$7:AG$126,1)-AG48)/2+1</f>
        <v>#VALUE!</v>
      </c>
      <c r="BQ48" s="3" t="e">
        <f>(LARGE(AH$7:AH$126,1)-AH48)/2+1</f>
        <v>#NUM!</v>
      </c>
      <c r="BR48" s="3" t="e">
        <f>(LARGE(AI$7:AI$126,1)-AI48)/2+1</f>
        <v>#NUM!</v>
      </c>
    </row>
    <row r="49" ht="12.75" customHeight="1" spans="1:60">
      <c r="A49" s="139" t="str">
        <f>IF(R49&gt;0,IF(Q49="Viru SK",RANK(B49,B$7:B$126,1)-COUNTIF((Q$7:Q$126),"&lt;&gt;Viru SK"),""),"")</f>
        <v/>
      </c>
      <c r="B49" s="140">
        <f>IF((Q49="Viru SK"),U49,U49-1000)</f>
        <v>-957</v>
      </c>
      <c r="C49" s="141" t="str">
        <f>IF(R49&gt;0,IF(P49="t",RANK(D49,D$7:D$126,1)-COUNTBLANK(P$7:P$126),""),"")</f>
        <v/>
      </c>
      <c r="D49" s="142">
        <f>IF((P49="t"),U49,U49-1000)</f>
        <v>-957</v>
      </c>
      <c r="E49" s="143">
        <f>IF(R49&gt;0,IF(N49="m",RANK(F49,F$7:F$126,1)-COUNTBLANK(N$7:N$126),""),"")</f>
        <v>35</v>
      </c>
      <c r="F49" s="144">
        <f>IF((N49="m"),U49,U49-1000)</f>
        <v>43</v>
      </c>
      <c r="G49" s="145" t="str">
        <f>IF(R49&gt;0,IF(M49="n",RANK(H49,H$7:H$126,1)-COUNTBLANK(M$7:M$126),""),"")</f>
        <v/>
      </c>
      <c r="H49" s="144">
        <f>IF((M49="n"),U49,U49-1000)</f>
        <v>-957</v>
      </c>
      <c r="I49" s="160" t="str">
        <f>IF(R49&gt;0,IF(O49="j",RANK(J49,J$7:J$126,1)-COUNTBLANK(O$7:O$126),""),"")</f>
        <v/>
      </c>
      <c r="J49" s="161">
        <f>IF((O49="j"),U49,U49-1000)</f>
        <v>-957</v>
      </c>
      <c r="K49" s="162">
        <f>IF(R49&gt;0,RANK(U49,U$7:U$126,1),"")</f>
        <v>43</v>
      </c>
      <c r="L49" s="163" t="s">
        <v>238</v>
      </c>
      <c r="M49" s="164"/>
      <c r="N49" s="165" t="s">
        <v>193</v>
      </c>
      <c r="O49" s="166"/>
      <c r="P49" s="167"/>
      <c r="Q49" s="192"/>
      <c r="R49" s="154">
        <f>(IF(COUNT(Z49,AA49,AB49,AC49,AD49,AE49,AF49,AG49,AH49,AI49)&lt;10,SUM(Z49,AA49,AB49,AC49,AD49,AE49,AF49,AG49,AH49,AI49),SUM(LARGE((Z49,AA49,AB49,AC49,AD49,AE49,AF49,AG49,AH49,AI49),{1;2;3;4;5;6;7;8;9}))))</f>
        <v>18</v>
      </c>
      <c r="S49" s="193" t="str">
        <f>INDEX(ETAPP!B$1:B$32,MATCH(COUNTIF(BI49:BR49,1),ETAPP!A$1:A$32,0))&amp;INDEX(ETAPP!B$1:B$32,MATCH(COUNTIF(BI49:BR49,2),ETAPP!A$1:A$32,0))&amp;INDEX(ETAPP!B$1:B$32,MATCH(COUNTIF(BI49:BR49,3),ETAPP!A$1:A$32,0))&amp;INDEX(ETAPP!B$1:B$32,MATCH(COUNTIF(BI49:BR49,4),ETAPP!A$1:A$32,0))&amp;INDEX(ETAPP!B$1:B$32,MATCH(COUNTIF(BI49:BR49,5),ETAPP!A$1:A$32,0))&amp;INDEX(ETAPP!B$1:B$32,MATCH(COUNTIF(BI49:BR49,6),ETAPP!A$1:A$32,0))&amp;INDEX(ETAPP!B$1:B$32,MATCH(COUNTIF(BI49:BR49,7),ETAPP!A$1:A$32,0))&amp;INDEX(ETAPP!B$1:B$32,MATCH(COUNTIF(BI49:BR49,8),ETAPP!A$1:A$32,0))&amp;INDEX(ETAPP!B$1:B$32,MATCH(COUNTIF(BI49:BR49,9),ETAPP!A$1:A$32,0))&amp;INDEX(ETAPP!B$1:B$32,MATCH(COUNTIF(BI49:BR49,10),ETAPP!A$1:A$32,0))&amp;INDEX(ETAPP!B$1:B$32,MATCH(COUNTIF(BI49:BR49,11),ETAPP!A$1:A$32,0))&amp;INDEX(ETAPP!B$1:B$32,MATCH(COUNTIF(BI49:BR49,12),ETAPP!A$1:A$32,0))&amp;INDEX(ETAPP!B$1:B$32,MATCH(COUNTIF(BI49:BR49,13),ETAPP!A$1:A$32,0))&amp;INDEX(ETAPP!B$1:B$32,MATCH(COUNTIF(BI49:BR49,14),ETAPP!A$1:A$32,0))&amp;INDEX(ETAPP!B$1:B$32,MATCH(COUNTIF(BI49:BR49,15),ETAPP!A$1:A$32,0))&amp;INDEX(ETAPP!B$1:B$32,MATCH(COUNTIF(BI49:BR49,16),ETAPP!A$1:A$32,0))&amp;INDEX(ETAPP!B$1:B$32,MATCH(COUNTIF(BI49:BR49,17),ETAPP!A$1:A$32,0))&amp;INDEX(ETAPP!B$1:B$32,MATCH(COUNTIF(BI49:BR49,18),ETAPP!A$1:A$32,0))&amp;INDEX(ETAPP!B$1:B$32,MATCH(COUNTIF(BI49:BR49,19),ETAPP!A$1:A$32,0))&amp;INDEX(ETAPP!B$1:B$32,MATCH(COUNTIF(BI49:BR49,20),ETAPP!A$1:A$32,0))&amp;INDEX(ETAPP!B$1:B$32,MATCH(COUNTIF(BI49:BR49,21),ETAPP!A$1:A$32,0))</f>
        <v>000000000000000000000</v>
      </c>
      <c r="T49" s="193" t="str">
        <f>TEXT(R49,"000,0")&amp;"-"&amp;S49</f>
        <v>018,0-000000000000000000000</v>
      </c>
      <c r="U49" s="193">
        <f>COUNTIF(T$7:T$126,"&gt;="&amp;T49)</f>
        <v>43</v>
      </c>
      <c r="V49" s="193">
        <f>COUNTIF(L$7:L$126,"&gt;="&amp;L49)</f>
        <v>21</v>
      </c>
      <c r="W49" s="193" t="str">
        <f>TEXT(R49,"000,0")&amp;"-"&amp;S49&amp;"-"&amp;TEXT(V49,"000")</f>
        <v>018,0-000000000000000000000-021</v>
      </c>
      <c r="X49" s="193">
        <f>COUNTIF(W$7:W$126,"&gt;="&amp;W49)</f>
        <v>43</v>
      </c>
      <c r="Y49" s="201">
        <f>RANK(X49,X$7:X$126,0)</f>
        <v>78</v>
      </c>
      <c r="Z49" s="202" t="str">
        <f>IFERROR(INDEX('V1'!C$300:C$400,MATCH("*"&amp;L49&amp;"*",'V1'!B$300:B$400,0)),"  ")</f>
        <v>  </v>
      </c>
      <c r="AA49" s="202">
        <f>IFERROR(INDEX('V2'!C$300:C$400,MATCH("*"&amp;L49&amp;"*",'V2'!B$300:B$400,0)),"  ")</f>
        <v>18</v>
      </c>
      <c r="AB49" s="202" t="str">
        <f>IFERROR(INDEX('V3'!C$300:C$400,MATCH("*"&amp;L49&amp;"*",'V3'!B$300:B$400,0)),"  ")</f>
        <v>  </v>
      </c>
      <c r="AC49" s="202" t="str">
        <f>IFERROR(INDEX('V4'!C$300:C$400,MATCH("*"&amp;L49&amp;"*",'V4'!B$300:B$400,0)),"  ")</f>
        <v>  </v>
      </c>
      <c r="AD49" s="202" t="str">
        <f>IFERROR(INDEX('V5'!C$300:C$400,MATCH("*"&amp;L49&amp;"*",'V5'!B$300:B$400,0)),"  ")</f>
        <v>  </v>
      </c>
      <c r="AE49" s="202" t="str">
        <f>IFERROR(INDEX('V6'!C$300:C$400,MATCH("*"&amp;L49&amp;"*",'V6'!B$300:B$400,0)),"  ")</f>
        <v>  </v>
      </c>
      <c r="AF49" s="202" t="str">
        <f>IFERROR(INDEX('V7'!C$300:C$400,MATCH("*"&amp;L49&amp;"*",'V7'!B$300:B$400,0)),"  ")</f>
        <v>  </v>
      </c>
      <c r="AG49" s="202" t="str">
        <f>IFERROR(INDEX('V8'!C$300:C$400,MATCH("*"&amp;L49&amp;"*",'V8'!B$300:B$400,0)),"  ")</f>
        <v>  </v>
      </c>
      <c r="AH49" s="202"/>
      <c r="AI49" s="202"/>
      <c r="AJ49" s="222" t="str">
        <f>IF(AN49&gt;(AT$2-1),K49,"")</f>
        <v/>
      </c>
      <c r="AK49" s="223">
        <f>SUM(Z49:AI49)</f>
        <v>18</v>
      </c>
      <c r="AL49" s="224">
        <f>IFERROR("edasi "&amp;RANK(AJ49,AJ$7:AJ$126,1),K49)</f>
        <v>43</v>
      </c>
      <c r="AM49" s="225" t="str">
        <f>IFERROR(INDEX(#REF!,MATCH("*"&amp;L49&amp;"*",#REF!,0)),"  ")</f>
        <v>  </v>
      </c>
      <c r="AN49" s="226">
        <f>COUNTIF(Z49:AI49,"&gt;=0")</f>
        <v>1</v>
      </c>
      <c r="AO49" s="126">
        <f>IFERROR(IF(Z49+1&gt;LARGE(Z$7:Z$126,1)-2*LEN(Z$5),1),0)+IFERROR(IF(AA49+1&gt;LARGE(AA$7:AA$126,1)-2*LEN(AA$5),1),0)+IFERROR(IF(AB49+1&gt;LARGE(AB$7:AB$126,1)-2*LEN(AB$5),1),0)+IFERROR(IF(AC49+1&gt;LARGE(AC$7:AC$126,1)-2*LEN(AC$5),1),0)+IFERROR(IF(AD49+1&gt;LARGE(AD$7:AD$126,1)-2*LEN(AD$5),1),0)+IFERROR(IF(AE49+1&gt;LARGE(AE$7:AE$126,1)-2*LEN(AE$5),1),0)+IFERROR(IF(AF49+1&gt;LARGE(AF$7:AF$126,1)-2*LEN(AF$5),1),0)+IFERROR(IF(AG49+1&gt;LARGE(AG$7:AG$126,1)-2*LEN(AG$5),1),0)+IFERROR(IF(AH49+1&gt;LARGE(AH$7:AH$126,1)-2*LEN(AH$5),1),0)+IFERROR(IF(AI49+1&gt;LARGE(AI$7:AI$126,1)-2*LEN(AI$5),1),0)</f>
        <v>0</v>
      </c>
      <c r="AP49" s="126">
        <f>IF(Z49=0,0,IF(Z49=IFERROR(LARGE(Z$7:Z$126,1),0),1,0))+IF(AA49=0,0,IF(AA49=IFERROR(LARGE(AA$7:AA$126,1),0),1,0))+IF(AB49=0,0,IF(AB49=IFERROR(LARGE(AB$7:AB$126,1),0),1,0))+IF(AC49=0,0,IF(AC49=IFERROR(LARGE(AC$7:AC$126,1),0),1,0))+IF(AD49=0,0,IF(AD49=IFERROR(LARGE(AD$7:AD$126,1),0),1,0))+IF(AE49=0,0,IF(AE49=IFERROR(LARGE(AE$7:AE$126,1),0),1,0))+IF(AF49=0,0,IF(AF49=IFERROR(LARGE(AF$7:AF$126,1),0),1,0))+IF(AG49=0,0,IF(AG49=IFERROR(LARGE(AG$7:AG$126,1),0),1,0))+IF(AH49=0,0,IF(AH49=IFERROR(LARGE(AH$7:AH$126,1),0),1,0))+IF(AI49=0,0,IF(AI49=IFERROR(LARGE(AI$7:AI$126,1),0),1,0))</f>
        <v>0</v>
      </c>
      <c r="AQ49" s="233"/>
      <c r="AR49" s="233"/>
      <c r="AS49" s="233"/>
      <c r="AT49" s="234">
        <f>SMALL(AU49:BD49,AT$3)</f>
        <v>0.0001</v>
      </c>
      <c r="AU49" s="235">
        <f>IF(Z49="  ",0+MID(Z$6,FIND("V",Z$6)+1,256)/10000,Z49+MID(Z$6,FIND("V",Z$6)+1,256)/10000)</f>
        <v>0.0001</v>
      </c>
      <c r="AV49" s="235">
        <f>IF(AA49="  ",0+MID(AA$6,FIND("V",AA$6)+1,256)/10000,AA49+MID(AA$6,FIND("V",AA$6)+1,256)/10000)</f>
        <v>18.0002</v>
      </c>
      <c r="AW49" s="235">
        <f>IF(AB49="  ",0+MID(AB$6,FIND("V",AB$6)+1,256)/10000,AB49+MID(AB$6,FIND("V",AB$6)+1,256)/10000)</f>
        <v>0.0003</v>
      </c>
      <c r="AX49" s="235">
        <f>IF(AC49="  ",0+MID(AC$6,FIND("V",AC$6)+1,256)/10000,AC49+MID(AC$6,FIND("V",AC$6)+1,256)/10000)</f>
        <v>0.0004</v>
      </c>
      <c r="AY49" s="235">
        <f>IF(AD49="  ",0+MID(AD$6,FIND("V",AD$6)+1,256)/10000,AD49+MID(AD$6,FIND("V",AD$6)+1,256)/10000)</f>
        <v>0.0005</v>
      </c>
      <c r="AZ49" s="235">
        <f>IF(AE49="  ",0+MID(AE$6,FIND("V",AE$6)+1,256)/10000,AE49+MID(AE$6,FIND("V",AE$6)+1,256)/10000)</f>
        <v>0.0006</v>
      </c>
      <c r="BA49" s="235">
        <f>IF(AF49="  ",0+MID(AF$6,FIND("V",AF$6)+1,256)/10000,AF49+MID(AF$6,FIND("V",AF$6)+1,256)/10000)</f>
        <v>0.0007</v>
      </c>
      <c r="BB49" s="235">
        <f>IF(AG49="  ",0+MID(AG$6,FIND("V",AG$6)+1,256)/10000,AG49+MID(AG$6,FIND("V",AG$6)+1,256)/10000)</f>
        <v>0.0008</v>
      </c>
      <c r="BC49" s="235">
        <f>IF(AH49="  ",0+MID(AH$6,FIND("V",AH$6)+1,256)/10000,AH49+MID(AH$6,FIND("V",AH$6)+1,256)/10000)</f>
        <v>0.0009</v>
      </c>
      <c r="BD49" s="235">
        <f>IF(AI49="  ",0+MID(AI$6,FIND("V",AI$6)+1,256)/10000,AI49+MID(AI$6,FIND("V",AI$6)+1,256)/10000)</f>
        <v>0.001</v>
      </c>
      <c r="BE49" s="233"/>
      <c r="BF49" s="233"/>
      <c r="BG49" s="233"/>
      <c r="BH49" s="233"/>
    </row>
    <row r="50" ht="12.75" customHeight="1" spans="1:70">
      <c r="A50" s="139">
        <f>IF(R50&gt;0,IF(Q50="Viru SK",RANK(B50,B$7:B$126,1)-COUNTIF((Q$7:Q$126),"&lt;&gt;Viru SK"),""),"")</f>
        <v>30</v>
      </c>
      <c r="B50" s="140">
        <f>IF((Q50="Viru SK"),U50,U50-1000)</f>
        <v>44</v>
      </c>
      <c r="C50" s="141">
        <f>IF(R50&gt;0,IF(P50="t",RANK(D50,D$7:D$126,1)-COUNTBLANK(P$7:P$126),""),"")</f>
        <v>18</v>
      </c>
      <c r="D50" s="142">
        <f>IF((P50="t"),U50,U50-1000)</f>
        <v>44</v>
      </c>
      <c r="E50" s="143">
        <f>IF(R50&gt;0,IF(N50="m",RANK(F50,F$7:F$126,1)-COUNTBLANK(N$7:N$126),""),"")</f>
        <v>36</v>
      </c>
      <c r="F50" s="144">
        <f>IF((N50="m"),U50,U50-1000)</f>
        <v>44</v>
      </c>
      <c r="G50" s="145" t="str">
        <f>IF(R50&gt;0,IF(M50="n",RANK(H50,H$7:H$126,1)-COUNTBLANK(M$7:M$126),""),"")</f>
        <v/>
      </c>
      <c r="H50" s="144">
        <f>IF((M50="n"),U50,U50-1000)</f>
        <v>-956</v>
      </c>
      <c r="I50" s="160" t="str">
        <f>IF(R50&gt;0,IF(O50="j",RANK(J50,J$7:J$126,1)-COUNTBLANK(O$7:O$126),""),"")</f>
        <v/>
      </c>
      <c r="J50" s="161">
        <f>IF((O50="j"),U50,U50-1000)</f>
        <v>-956</v>
      </c>
      <c r="K50" s="162">
        <f>IF(R50&gt;0,RANK(U50,U$7:U$126,1),"")</f>
        <v>44</v>
      </c>
      <c r="L50" s="163" t="s">
        <v>239</v>
      </c>
      <c r="M50" s="164"/>
      <c r="N50" s="165" t="str">
        <f>IF(M50="","m","")</f>
        <v>m</v>
      </c>
      <c r="O50" s="166"/>
      <c r="P50" s="167" t="s">
        <v>196</v>
      </c>
      <c r="Q50" s="192" t="s">
        <v>171</v>
      </c>
      <c r="R50" s="154">
        <f>(IF(COUNT(Z50,AA50,AB50,AC50,AD50,AE50,AF50,AG50,AH50,AI50)&lt;10,SUM(Z50,AA50,AB50,AC50,AD50,AE50,AF50,AG50,AH50,AI50),SUM(LARGE((Z50,AA50,AB50,AC50,AD50,AE50,AF50,AG50,AH50,AI50),{1;2;3;4;5;6;7;8;9}))))</f>
        <v>16</v>
      </c>
      <c r="S50" s="193" t="str">
        <f>INDEX(ETAPP!B$1:B$32,MATCH(COUNTIF(BI50:BR50,1),ETAPP!A$1:A$32,0))&amp;INDEX(ETAPP!B$1:B$32,MATCH(COUNTIF(BI50:BR50,2),ETAPP!A$1:A$32,0))&amp;INDEX(ETAPP!B$1:B$32,MATCH(COUNTIF(BI50:BR50,3),ETAPP!A$1:A$32,0))&amp;INDEX(ETAPP!B$1:B$32,MATCH(COUNTIF(BI50:BR50,4),ETAPP!A$1:A$32,0))&amp;INDEX(ETAPP!B$1:B$32,MATCH(COUNTIF(BI50:BR50,5),ETAPP!A$1:A$32,0))&amp;INDEX(ETAPP!B$1:B$32,MATCH(COUNTIF(BI50:BR50,6),ETAPP!A$1:A$32,0))&amp;INDEX(ETAPP!B$1:B$32,MATCH(COUNTIF(BI50:BR50,7),ETAPP!A$1:A$32,0))&amp;INDEX(ETAPP!B$1:B$32,MATCH(COUNTIF(BI50:BR50,8),ETAPP!A$1:A$32,0))&amp;INDEX(ETAPP!B$1:B$32,MATCH(COUNTIF(BI50:BR50,9),ETAPP!A$1:A$32,0))&amp;INDEX(ETAPP!B$1:B$32,MATCH(COUNTIF(BI50:BR50,10),ETAPP!A$1:A$32,0))&amp;INDEX(ETAPP!B$1:B$32,MATCH(COUNTIF(BI50:BR50,11),ETAPP!A$1:A$32,0))&amp;INDEX(ETAPP!B$1:B$32,MATCH(COUNTIF(BI50:BR50,12),ETAPP!A$1:A$32,0))&amp;INDEX(ETAPP!B$1:B$32,MATCH(COUNTIF(BI50:BR50,13),ETAPP!A$1:A$32,0))&amp;INDEX(ETAPP!B$1:B$32,MATCH(COUNTIF(BI50:BR50,14),ETAPP!A$1:A$32,0))&amp;INDEX(ETAPP!B$1:B$32,MATCH(COUNTIF(BI50:BR50,15),ETAPP!A$1:A$32,0))&amp;INDEX(ETAPP!B$1:B$32,MATCH(COUNTIF(BI50:BR50,16),ETAPP!A$1:A$32,0))&amp;INDEX(ETAPP!B$1:B$32,MATCH(COUNTIF(BI50:BR50,17),ETAPP!A$1:A$32,0))&amp;INDEX(ETAPP!B$1:B$32,MATCH(COUNTIF(BI50:BR50,18),ETAPP!A$1:A$32,0))&amp;INDEX(ETAPP!B$1:B$32,MATCH(COUNTIF(BI50:BR50,19),ETAPP!A$1:A$32,0))&amp;INDEX(ETAPP!B$1:B$32,MATCH(COUNTIF(BI50:BR50,20),ETAPP!A$1:A$32,0))&amp;INDEX(ETAPP!B$1:B$32,MATCH(COUNTIF(BI50:BR50,21),ETAPP!A$1:A$32,0))</f>
        <v>00000A000000000000000</v>
      </c>
      <c r="T50" s="193" t="str">
        <f>TEXT(R50,"000,0")&amp;"-"&amp;S50</f>
        <v>016,0-00000A000000000000000</v>
      </c>
      <c r="U50" s="193">
        <f>COUNTIF(T$7:T$126,"&gt;="&amp;T50)</f>
        <v>44</v>
      </c>
      <c r="V50" s="193">
        <f>COUNTIF(L$7:L$126,"&gt;="&amp;L50)</f>
        <v>39</v>
      </c>
      <c r="W50" s="193" t="str">
        <f>TEXT(R50,"000,0")&amp;"-"&amp;S50&amp;"-"&amp;TEXT(V50,"000")</f>
        <v>016,0-00000A000000000000000-039</v>
      </c>
      <c r="X50" s="193">
        <f>COUNTIF(W$7:W$126,"&gt;="&amp;W50)</f>
        <v>44</v>
      </c>
      <c r="Y50" s="201">
        <f>RANK(X50,X$7:X$126,0)</f>
        <v>77</v>
      </c>
      <c r="Z50" s="202" t="str">
        <f>IFERROR(INDEX('V1'!C$300:C$400,MATCH("*"&amp;L50&amp;"*",'V1'!B$300:B$400,0)),"  ")</f>
        <v>  </v>
      </c>
      <c r="AA50" s="202" t="str">
        <f>IFERROR(INDEX('V2'!C$300:C$400,MATCH("*"&amp;L50&amp;"*",'V2'!B$300:B$400,0)),"  ")</f>
        <v>  </v>
      </c>
      <c r="AB50" s="202" t="str">
        <f>IFERROR(INDEX('V3'!C$300:C$400,MATCH("*"&amp;L50&amp;"*",'V3'!B$300:B$400,0)),"  ")</f>
        <v>  </v>
      </c>
      <c r="AC50" s="202" t="str">
        <f>IFERROR(INDEX('V4'!C$300:C$400,MATCH("*"&amp;L50&amp;"*",'V4'!B$300:B$400,0)),"  ")</f>
        <v>  </v>
      </c>
      <c r="AD50" s="202" t="str">
        <f>IFERROR(INDEX('V5'!C$300:C$400,MATCH("*"&amp;L50&amp;"*",'V5'!B$300:B$400,0)),"  ")</f>
        <v>  </v>
      </c>
      <c r="AE50" s="202" t="str">
        <f>IFERROR(INDEX('V6'!C$300:C$400,MATCH("*"&amp;L50&amp;"*",'V6'!B$300:B$400,0)),"  ")</f>
        <v>  </v>
      </c>
      <c r="AF50" s="202" t="str">
        <f>IFERROR(INDEX('V7'!C$300:C$400,MATCH("*"&amp;L50&amp;"*",'V7'!B$300:B$400,0)),"  ")</f>
        <v>  </v>
      </c>
      <c r="AG50" s="202">
        <f>IFERROR(INDEX('V8'!C$300:C$400,MATCH("*"&amp;L50&amp;"*",'V8'!B$300:B$400,0)),"  ")</f>
        <v>16</v>
      </c>
      <c r="AH50" s="202"/>
      <c r="AI50" s="202"/>
      <c r="AJ50" s="222" t="str">
        <f>IF(AN50&gt;(AT$2-1),K50,"")</f>
        <v/>
      </c>
      <c r="AK50" s="223">
        <f>SUM(Z50:AI50)</f>
        <v>16</v>
      </c>
      <c r="AL50" s="224">
        <f>IFERROR("edasi "&amp;RANK(AJ50,AJ$7:AJ$126,1),K50)</f>
        <v>44</v>
      </c>
      <c r="AM50" s="225" t="str">
        <f>IFERROR(INDEX(#REF!,MATCH("*"&amp;L50&amp;"*",#REF!,0)),"  ")</f>
        <v>  </v>
      </c>
      <c r="AN50" s="226">
        <f>COUNTIF(Z50:AI50,"&gt;=0")</f>
        <v>1</v>
      </c>
      <c r="AO50" s="126">
        <f>IFERROR(IF(Z50+1&gt;LARGE(Z$7:Z$126,1)-2*LEN(Z$5),1),0)+IFERROR(IF(AA50+1&gt;LARGE(AA$7:AA$126,1)-2*LEN(AA$5),1),0)+IFERROR(IF(AB50+1&gt;LARGE(AB$7:AB$126,1)-2*LEN(AB$5),1),0)+IFERROR(IF(AC50+1&gt;LARGE(AC$7:AC$126,1)-2*LEN(AC$5),1),0)+IFERROR(IF(AD50+1&gt;LARGE(AD$7:AD$126,1)-2*LEN(AD$5),1),0)+IFERROR(IF(AE50+1&gt;LARGE(AE$7:AE$126,1)-2*LEN(AE$5),1),0)+IFERROR(IF(AF50+1&gt;LARGE(AF$7:AF$126,1)-2*LEN(AF$5),1),0)+IFERROR(IF(AG50+1&gt;LARGE(AG$7:AG$126,1)-2*LEN(AG$5),1),0)+IFERROR(IF(AH50+1&gt;LARGE(AH$7:AH$126,1)-2*LEN(AH$5),1),0)+IFERROR(IF(AI50+1&gt;LARGE(AI$7:AI$126,1)-2*LEN(AI$5),1),0)</f>
        <v>0</v>
      </c>
      <c r="AP50" s="126">
        <f>IF(Z50=0,0,IF(Z50=IFERROR(LARGE(Z$7:Z$126,1),0),1,0))+IF(AA50=0,0,IF(AA50=IFERROR(LARGE(AA$7:AA$126,1),0),1,0))+IF(AB50=0,0,IF(AB50=IFERROR(LARGE(AB$7:AB$126,1),0),1,0))+IF(AC50=0,0,IF(AC50=IFERROR(LARGE(AC$7:AC$126,1),0),1,0))+IF(AD50=0,0,IF(AD50=IFERROR(LARGE(AD$7:AD$126,1),0),1,0))+IF(AE50=0,0,IF(AE50=IFERROR(LARGE(AE$7:AE$126,1),0),1,0))+IF(AF50=0,0,IF(AF50=IFERROR(LARGE(AF$7:AF$126,1),0),1,0))+IF(AG50=0,0,IF(AG50=IFERROR(LARGE(AG$7:AG$126,1),0),1,0))+IF(AH50=0,0,IF(AH50=IFERROR(LARGE(AH$7:AH$126,1),0),1,0))+IF(AI50=0,0,IF(AI50=IFERROR(LARGE(AI$7:AI$126,1),0),1,0))</f>
        <v>0</v>
      </c>
      <c r="AQ50" s="233"/>
      <c r="AR50" s="233"/>
      <c r="AS50" s="233"/>
      <c r="AT50" s="234">
        <f>SMALL(AU50:BD50,AT$3)</f>
        <v>0.0001</v>
      </c>
      <c r="AU50" s="235">
        <f>IF(Z50="  ",0+MID(Z$6,FIND("V",Z$6)+1,256)/10000,Z50+MID(Z$6,FIND("V",Z$6)+1,256)/10000)</f>
        <v>0.0001</v>
      </c>
      <c r="AV50" s="235">
        <f>IF(AA50="  ",0+MID(AA$6,FIND("V",AA$6)+1,256)/10000,AA50+MID(AA$6,FIND("V",AA$6)+1,256)/10000)</f>
        <v>0.0002</v>
      </c>
      <c r="AW50" s="235">
        <f>IF(AB50="  ",0+MID(AB$6,FIND("V",AB$6)+1,256)/10000,AB50+MID(AB$6,FIND("V",AB$6)+1,256)/10000)</f>
        <v>0.0003</v>
      </c>
      <c r="AX50" s="235">
        <f>IF(AC50="  ",0+MID(AC$6,FIND("V",AC$6)+1,256)/10000,AC50+MID(AC$6,FIND("V",AC$6)+1,256)/10000)</f>
        <v>0.0004</v>
      </c>
      <c r="AY50" s="235">
        <f>IF(AD50="  ",0+MID(AD$6,FIND("V",AD$6)+1,256)/10000,AD50+MID(AD$6,FIND("V",AD$6)+1,256)/10000)</f>
        <v>0.0005</v>
      </c>
      <c r="AZ50" s="235">
        <f>IF(AE50="  ",0+MID(AE$6,FIND("V",AE$6)+1,256)/10000,AE50+MID(AE$6,FIND("V",AE$6)+1,256)/10000)</f>
        <v>0.0006</v>
      </c>
      <c r="BA50" s="235">
        <f>IF(AF50="  ",0+MID(AF$6,FIND("V",AF$6)+1,256)/10000,AF50+MID(AF$6,FIND("V",AF$6)+1,256)/10000)</f>
        <v>0.0007</v>
      </c>
      <c r="BB50" s="235">
        <f>IF(AG50="  ",0+MID(AG$6,FIND("V",AG$6)+1,256)/10000,AG50+MID(AG$6,FIND("V",AG$6)+1,256)/10000)</f>
        <v>16.0008</v>
      </c>
      <c r="BC50" s="235">
        <f>IF(AH50="  ",0+MID(AH$6,FIND("V",AH$6)+1,256)/10000,AH50+MID(AH$6,FIND("V",AH$6)+1,256)/10000)</f>
        <v>0.0009</v>
      </c>
      <c r="BD50" s="235">
        <f>IF(AI50="  ",0+MID(AI$6,FIND("V",AI$6)+1,256)/10000,AI50+MID(AI$6,FIND("V",AI$6)+1,256)/10000)</f>
        <v>0.001</v>
      </c>
      <c r="BE50" s="233"/>
      <c r="BF50" s="233"/>
      <c r="BG50" s="233"/>
      <c r="BH50" s="233"/>
      <c r="BI50" s="3" t="e">
        <f>(LARGE(Z$7:Z$126,1)-Z50)/2+1</f>
        <v>#VALUE!</v>
      </c>
      <c r="BJ50" s="3" t="e">
        <f>(LARGE(AA$7:AA$126,1)-AA50)/2+1</f>
        <v>#VALUE!</v>
      </c>
      <c r="BK50" s="3" t="e">
        <f>(LARGE(AB$7:AB$126,1)-AB50)/2+1</f>
        <v>#VALUE!</v>
      </c>
      <c r="BL50" s="3" t="e">
        <f>(LARGE(AC$7:AC$126,1)-AC50)/2+1</f>
        <v>#VALUE!</v>
      </c>
      <c r="BM50" s="3" t="e">
        <f>(LARGE(AD$7:AD$126,1)-AD50)/2+1</f>
        <v>#VALUE!</v>
      </c>
      <c r="BN50" s="3" t="e">
        <f>(LARGE(AE$7:AE$126,1)-AE50)/2+1</f>
        <v>#VALUE!</v>
      </c>
      <c r="BO50" s="3" t="e">
        <f>(LARGE(AF$7:AF$126,1)-AF50)/2+1</f>
        <v>#VALUE!</v>
      </c>
      <c r="BP50" s="3">
        <f>(LARGE(AG$7:AG$126,1)-AG50)/2+1</f>
        <v>6</v>
      </c>
      <c r="BQ50" s="3" t="e">
        <f>(LARGE(AH$7:AH$126,1)-AH50)/2+1</f>
        <v>#NUM!</v>
      </c>
      <c r="BR50" s="3" t="e">
        <f>(LARGE(AI$7:AI$126,1)-AI50)/2+1</f>
        <v>#NUM!</v>
      </c>
    </row>
    <row r="51" ht="12.75" customHeight="1" spans="1:70">
      <c r="A51" s="139">
        <f>IF(R51&gt;0,IF(Q51="Viru SK",RANK(B51,B$7:B$126,1)-COUNTIF((Q$7:Q$126),"&lt;&gt;Viru SK"),""),"")</f>
        <v>31</v>
      </c>
      <c r="B51" s="140">
        <f>IF((Q51="Viru SK"),U51,U51-1000)</f>
        <v>46</v>
      </c>
      <c r="C51" s="141">
        <f>IF(R51&gt;0,IF(P51="t",RANK(D51,D$7:D$126,1)-COUNTBLANK(P$7:P$126),""),"")</f>
        <v>19</v>
      </c>
      <c r="D51" s="142">
        <f>IF((P51="t"),U51,U51-1000)</f>
        <v>46</v>
      </c>
      <c r="E51" s="143">
        <f>IF(R51&gt;0,IF(N51="m",RANK(F51,F$7:F$126,1)-COUNTBLANK(N$7:N$126),""),"")</f>
        <v>37</v>
      </c>
      <c r="F51" s="144">
        <f>IF((N51="m"),U51,U51-1000)</f>
        <v>46</v>
      </c>
      <c r="G51" s="145" t="str">
        <f>IF(R51&gt;0,IF(M51="n",RANK(H51,H$7:H$126,1)-COUNTBLANK(M$7:M$126),""),"")</f>
        <v/>
      </c>
      <c r="H51" s="144">
        <f>IF((M51="n"),U51,U51-1000)</f>
        <v>-954</v>
      </c>
      <c r="I51" s="160" t="str">
        <f>IF(R51&gt;0,IF(O51="j",RANK(J51,J$7:J$126,1)-COUNTBLANK(O$7:O$126),""),"")</f>
        <v/>
      </c>
      <c r="J51" s="161">
        <f>IF((O51="j"),U51,U51-1000)</f>
        <v>-954</v>
      </c>
      <c r="K51" s="162">
        <f>IF(R51&gt;0,RANK(U51,U$7:U$126,1),"")</f>
        <v>45</v>
      </c>
      <c r="L51" s="168" t="s">
        <v>240</v>
      </c>
      <c r="M51" s="164"/>
      <c r="N51" s="165" t="str">
        <f>IF(M51="","m","")</f>
        <v>m</v>
      </c>
      <c r="O51" s="166"/>
      <c r="P51" s="167" t="s">
        <v>196</v>
      </c>
      <c r="Q51" s="192" t="s">
        <v>171</v>
      </c>
      <c r="R51" s="154">
        <f>(IF(COUNT(Z51,AA51,AB51,AC51,AD51,AE51,AF51,AG51,AH51,AI51)&lt;10,SUM(Z51,AA51,AB51,AC51,AD51,AE51,AF51,AG51,AH51,AI51),SUM(LARGE((Z51,AA51,AB51,AC51,AD51,AE51,AF51,AG51,AH51,AI51),{1;2;3;4;5;6;7;8;9}))))</f>
        <v>4</v>
      </c>
      <c r="S51" s="193" t="str">
        <f>INDEX(ETAPP!B$1:B$32,MATCH(COUNTIF(BI51:BR51,1),ETAPP!A$1:A$32,0))&amp;INDEX(ETAPP!B$1:B$32,MATCH(COUNTIF(BI51:BR51,2),ETAPP!A$1:A$32,0))&amp;INDEX(ETAPP!B$1:B$32,MATCH(COUNTIF(BI51:BR51,3),ETAPP!A$1:A$32,0))&amp;INDEX(ETAPP!B$1:B$32,MATCH(COUNTIF(BI51:BR51,4),ETAPP!A$1:A$32,0))&amp;INDEX(ETAPP!B$1:B$32,MATCH(COUNTIF(BI51:BR51,5),ETAPP!A$1:A$32,0))&amp;INDEX(ETAPP!B$1:B$32,MATCH(COUNTIF(BI51:BR51,6),ETAPP!A$1:A$32,0))&amp;INDEX(ETAPP!B$1:B$32,MATCH(COUNTIF(BI51:BR51,7),ETAPP!A$1:A$32,0))&amp;INDEX(ETAPP!B$1:B$32,MATCH(COUNTIF(BI51:BR51,8),ETAPP!A$1:A$32,0))&amp;INDEX(ETAPP!B$1:B$32,MATCH(COUNTIF(BI51:BR51,9),ETAPP!A$1:A$32,0))&amp;INDEX(ETAPP!B$1:B$32,MATCH(COUNTIF(BI51:BR51,10),ETAPP!A$1:A$32,0))&amp;INDEX(ETAPP!B$1:B$32,MATCH(COUNTIF(BI51:BR51,11),ETAPP!A$1:A$32,0))&amp;INDEX(ETAPP!B$1:B$32,MATCH(COUNTIF(BI51:BR51,12),ETAPP!A$1:A$32,0))&amp;INDEX(ETAPP!B$1:B$32,MATCH(COUNTIF(BI51:BR51,13),ETAPP!A$1:A$32,0))&amp;INDEX(ETAPP!B$1:B$32,MATCH(COUNTIF(BI51:BR51,14),ETAPP!A$1:A$32,0))&amp;INDEX(ETAPP!B$1:B$32,MATCH(COUNTIF(BI51:BR51,15),ETAPP!A$1:A$32,0))&amp;INDEX(ETAPP!B$1:B$32,MATCH(COUNTIF(BI51:BR51,16),ETAPP!A$1:A$32,0))&amp;INDEX(ETAPP!B$1:B$32,MATCH(COUNTIF(BI51:BR51,17),ETAPP!A$1:A$32,0))&amp;INDEX(ETAPP!B$1:B$32,MATCH(COUNTIF(BI51:BR51,18),ETAPP!A$1:A$32,0))&amp;INDEX(ETAPP!B$1:B$32,MATCH(COUNTIF(BI51:BR51,19),ETAPP!A$1:A$32,0))&amp;INDEX(ETAPP!B$1:B$32,MATCH(COUNTIF(BI51:BR51,20),ETAPP!A$1:A$32,0))&amp;INDEX(ETAPP!B$1:B$32,MATCH(COUNTIF(BI51:BR51,21),ETAPP!A$1:A$32,0))</f>
        <v>000000000000A00000000</v>
      </c>
      <c r="T51" s="193" t="str">
        <f>TEXT(R51,"000,0")&amp;"-"&amp;S51</f>
        <v>004,0-000000000000A00000000</v>
      </c>
      <c r="U51" s="193">
        <f>COUNTIF(T$7:T$126,"&gt;="&amp;T51)</f>
        <v>46</v>
      </c>
      <c r="V51" s="193">
        <f>COUNTIF(L$7:L$126,"&gt;="&amp;L51)</f>
        <v>114</v>
      </c>
      <c r="W51" s="193" t="str">
        <f>TEXT(R51,"000,0")&amp;"-"&amp;S51&amp;"-"&amp;TEXT(V51,"000")</f>
        <v>004,0-000000000000A00000000-114</v>
      </c>
      <c r="X51" s="193">
        <f>COUNTIF(W$7:W$126,"&gt;="&amp;W51)</f>
        <v>45</v>
      </c>
      <c r="Y51" s="201">
        <f>RANK(X51,X$7:X$126,0)</f>
        <v>76</v>
      </c>
      <c r="Z51" s="202" t="str">
        <f>IFERROR(INDEX('V1'!C$300:C$400,MATCH("*"&amp;L51&amp;"*",'V1'!B$300:B$400,0)),"  ")</f>
        <v>  </v>
      </c>
      <c r="AA51" s="202" t="str">
        <f>IFERROR(INDEX('V2'!C$300:C$400,MATCH("*"&amp;L51&amp;"*",'V2'!B$300:B$400,0)),"  ")</f>
        <v>  </v>
      </c>
      <c r="AB51" s="202" t="str">
        <f>IFERROR(INDEX('V3'!C$300:C$400,MATCH("*"&amp;L51&amp;"*",'V3'!B$300:B$400,0)),"  ")</f>
        <v>  </v>
      </c>
      <c r="AC51" s="202" t="str">
        <f>IFERROR(INDEX('V4'!C$300:C$400,MATCH("*"&amp;L51&amp;"*",'V4'!B$300:B$400,0)),"  ")</f>
        <v>  </v>
      </c>
      <c r="AD51" s="202" t="str">
        <f>IFERROR(INDEX('V5'!C$300:C$400,MATCH("*"&amp;L51&amp;"*",'V5'!B$300:B$400,0)),"  ")</f>
        <v>  </v>
      </c>
      <c r="AE51" s="202" t="str">
        <f>IFERROR(INDEX('V6'!C$300:C$400,MATCH("*"&amp;L51&amp;"*",'V6'!B$300:B$400,0)),"  ")</f>
        <v>  </v>
      </c>
      <c r="AF51" s="202">
        <f>IFERROR(INDEX('V7'!C$300:C$400,MATCH("*"&amp;L51&amp;"*",'V7'!B$300:B$400,0)),"  ")</f>
        <v>4</v>
      </c>
      <c r="AG51" s="202" t="str">
        <f>IFERROR(INDEX('V8'!C$300:C$400,MATCH("*"&amp;L51&amp;"*",'V8'!B$300:B$400,0)),"  ")</f>
        <v>  </v>
      </c>
      <c r="AH51" s="202"/>
      <c r="AI51" s="202"/>
      <c r="AJ51" s="222" t="str">
        <f>IF(AN51&gt;(AT$2-1),K51,"")</f>
        <v/>
      </c>
      <c r="AK51" s="223">
        <f>SUM(Z51:AI51)</f>
        <v>4</v>
      </c>
      <c r="AL51" s="224">
        <f>IFERROR("edasi "&amp;RANK(AJ51,AJ$7:AJ$126,1),K51)</f>
        <v>45</v>
      </c>
      <c r="AM51" s="225" t="str">
        <f>IFERROR(INDEX(#REF!,MATCH("*"&amp;L51&amp;"*",#REF!,0)),"  ")</f>
        <v>  </v>
      </c>
      <c r="AN51" s="226">
        <f>COUNTIF(Z51:AI51,"&gt;=0")</f>
        <v>1</v>
      </c>
      <c r="AO51" s="126">
        <f>IFERROR(IF(Z51+1&gt;LARGE(Z$7:Z$126,1)-2*LEN(Z$5),1),0)+IFERROR(IF(AA51+1&gt;LARGE(AA$7:AA$126,1)-2*LEN(AA$5),1),0)+IFERROR(IF(AB51+1&gt;LARGE(AB$7:AB$126,1)-2*LEN(AB$5),1),0)+IFERROR(IF(AC51+1&gt;LARGE(AC$7:AC$126,1)-2*LEN(AC$5),1),0)+IFERROR(IF(AD51+1&gt;LARGE(AD$7:AD$126,1)-2*LEN(AD$5),1),0)+IFERROR(IF(AE51+1&gt;LARGE(AE$7:AE$126,1)-2*LEN(AE$5),1),0)+IFERROR(IF(AF51+1&gt;LARGE(AF$7:AF$126,1)-2*LEN(AF$5),1),0)+IFERROR(IF(AG51+1&gt;LARGE(AG$7:AG$126,1)-2*LEN(AG$5),1),0)+IFERROR(IF(AH51+1&gt;LARGE(AH$7:AH$126,1)-2*LEN(AH$5),1),0)+IFERROR(IF(AI51+1&gt;LARGE(AI$7:AI$126,1)-2*LEN(AI$5),1),0)</f>
        <v>0</v>
      </c>
      <c r="AP51" s="126">
        <f>IF(Z51=0,0,IF(Z51=IFERROR(LARGE(Z$7:Z$126,1),0),1,0))+IF(AA51=0,0,IF(AA51=IFERROR(LARGE(AA$7:AA$126,1),0),1,0))+IF(AB51=0,0,IF(AB51=IFERROR(LARGE(AB$7:AB$126,1),0),1,0))+IF(AC51=0,0,IF(AC51=IFERROR(LARGE(AC$7:AC$126,1),0),1,0))+IF(AD51=0,0,IF(AD51=IFERROR(LARGE(AD$7:AD$126,1),0),1,0))+IF(AE51=0,0,IF(AE51=IFERROR(LARGE(AE$7:AE$126,1),0),1,0))+IF(AF51=0,0,IF(AF51=IFERROR(LARGE(AF$7:AF$126,1),0),1,0))+IF(AG51=0,0,IF(AG51=IFERROR(LARGE(AG$7:AG$126,1),0),1,0))+IF(AH51=0,0,IF(AH51=IFERROR(LARGE(AH$7:AH$126,1),0),1,0))+IF(AI51=0,0,IF(AI51=IFERROR(LARGE(AI$7:AI$126,1),0),1,0))</f>
        <v>0</v>
      </c>
      <c r="AQ51" s="233"/>
      <c r="AR51" s="233"/>
      <c r="AS51" s="233"/>
      <c r="AT51" s="234">
        <f>SMALL(AU51:BD51,AT$3)</f>
        <v>0.0001</v>
      </c>
      <c r="AU51" s="235">
        <f>IF(Z51="  ",0+MID(Z$6,FIND("V",Z$6)+1,256)/10000,Z51+MID(Z$6,FIND("V",Z$6)+1,256)/10000)</f>
        <v>0.0001</v>
      </c>
      <c r="AV51" s="235">
        <f>IF(AA51="  ",0+MID(AA$6,FIND("V",AA$6)+1,256)/10000,AA51+MID(AA$6,FIND("V",AA$6)+1,256)/10000)</f>
        <v>0.0002</v>
      </c>
      <c r="AW51" s="235">
        <f>IF(AB51="  ",0+MID(AB$6,FIND("V",AB$6)+1,256)/10000,AB51+MID(AB$6,FIND("V",AB$6)+1,256)/10000)</f>
        <v>0.0003</v>
      </c>
      <c r="AX51" s="235">
        <f>IF(AC51="  ",0+MID(AC$6,FIND("V",AC$6)+1,256)/10000,AC51+MID(AC$6,FIND("V",AC$6)+1,256)/10000)</f>
        <v>0.0004</v>
      </c>
      <c r="AY51" s="235">
        <f>IF(AD51="  ",0+MID(AD$6,FIND("V",AD$6)+1,256)/10000,AD51+MID(AD$6,FIND("V",AD$6)+1,256)/10000)</f>
        <v>0.0005</v>
      </c>
      <c r="AZ51" s="235">
        <f>IF(AE51="  ",0+MID(AE$6,FIND("V",AE$6)+1,256)/10000,AE51+MID(AE$6,FIND("V",AE$6)+1,256)/10000)</f>
        <v>0.0006</v>
      </c>
      <c r="BA51" s="235">
        <f>IF(AF51="  ",0+MID(AF$6,FIND("V",AF$6)+1,256)/10000,AF51+MID(AF$6,FIND("V",AF$6)+1,256)/10000)</f>
        <v>4.0007</v>
      </c>
      <c r="BB51" s="235">
        <f>IF(AG51="  ",0+MID(AG$6,FIND("V",AG$6)+1,256)/10000,AG51+MID(AG$6,FIND("V",AG$6)+1,256)/10000)</f>
        <v>0.0008</v>
      </c>
      <c r="BC51" s="235">
        <f>IF(AH51="  ",0+MID(AH$6,FIND("V",AH$6)+1,256)/10000,AH51+MID(AH$6,FIND("V",AH$6)+1,256)/10000)</f>
        <v>0.0009</v>
      </c>
      <c r="BD51" s="235">
        <f>IF(AI51="  ",0+MID(AI$6,FIND("V",AI$6)+1,256)/10000,AI51+MID(AI$6,FIND("V",AI$6)+1,256)/10000)</f>
        <v>0.001</v>
      </c>
      <c r="BE51" s="233"/>
      <c r="BF51" s="233"/>
      <c r="BG51" s="233"/>
      <c r="BH51" s="233"/>
      <c r="BI51" s="3" t="e">
        <f>(LARGE(Z$7:Z$126,1)-Z51)/2+1</f>
        <v>#VALUE!</v>
      </c>
      <c r="BJ51" s="3" t="e">
        <f>(LARGE(AA$7:AA$126,1)-AA51)/2+1</f>
        <v>#VALUE!</v>
      </c>
      <c r="BK51" s="3" t="e">
        <f>(LARGE(AB$7:AB$126,1)-AB51)/2+1</f>
        <v>#VALUE!</v>
      </c>
      <c r="BL51" s="3" t="e">
        <f>(LARGE(AC$7:AC$126,1)-AC51)/2+1</f>
        <v>#VALUE!</v>
      </c>
      <c r="BM51" s="3" t="e">
        <f>(LARGE(AD$7:AD$126,1)-AD51)/2+1</f>
        <v>#VALUE!</v>
      </c>
      <c r="BN51" s="3" t="e">
        <f>(LARGE(AE$7:AE$126,1)-AE51)/2+1</f>
        <v>#VALUE!</v>
      </c>
      <c r="BO51" s="3">
        <f>(LARGE(AF$7:AF$126,1)-AF51)/2+1</f>
        <v>13</v>
      </c>
      <c r="BP51" s="3" t="e">
        <f>(LARGE(AG$7:AG$126,1)-AG51)/2+1</f>
        <v>#VALUE!</v>
      </c>
      <c r="BQ51" s="3" t="e">
        <f>(LARGE(AH$7:AH$126,1)-AH51)/2+1</f>
        <v>#NUM!</v>
      </c>
      <c r="BR51" s="3" t="e">
        <f>(LARGE(AI$7:AI$126,1)-AI51)/2+1</f>
        <v>#NUM!</v>
      </c>
    </row>
    <row r="52" ht="12.75" customHeight="1" spans="1:70">
      <c r="A52" s="139">
        <f>IF(R52&gt;0,IF(Q52="Viru SK",RANK(B52,B$7:B$126,1)-COUNTIF((Q$7:Q$126),"&lt;&gt;Viru SK"),""),"")</f>
        <v>31</v>
      </c>
      <c r="B52" s="140">
        <f>IF((Q52="Viru SK"),U52,U52-1000)</f>
        <v>46</v>
      </c>
      <c r="C52" s="141">
        <f>IF(R52&gt;0,IF(P52="t",RANK(D52,D$7:D$126,1)-COUNTBLANK(P$7:P$126),""),"")</f>
        <v>19</v>
      </c>
      <c r="D52" s="142">
        <f>IF((P52="t"),U52,U52-1000)</f>
        <v>46</v>
      </c>
      <c r="E52" s="143">
        <f>IF(R52&gt;0,IF(N52="m",RANK(F52,F$7:F$126,1)-COUNTBLANK(N$7:N$126),""),"")</f>
        <v>37</v>
      </c>
      <c r="F52" s="144">
        <f>IF((N52="m"),U52,U52-1000)</f>
        <v>46</v>
      </c>
      <c r="G52" s="145" t="str">
        <f>IF(R52&gt;0,IF(M52="n",RANK(H52,H$7:H$126,1)-COUNTBLANK(M$7:M$126),""),"")</f>
        <v/>
      </c>
      <c r="H52" s="144">
        <f>IF((M52="n"),U52,U52-1000)</f>
        <v>-954</v>
      </c>
      <c r="I52" s="160" t="str">
        <f>IF(R52&gt;0,IF(O52="j",RANK(J52,J$7:J$126,1)-COUNTBLANK(O$7:O$126),""),"")</f>
        <v/>
      </c>
      <c r="J52" s="161">
        <f>IF((O52="j"),U52,U52-1000)</f>
        <v>-954</v>
      </c>
      <c r="K52" s="162">
        <f>IF(R52&gt;0,RANK(U52,U$7:U$126,1),"")</f>
        <v>45</v>
      </c>
      <c r="L52" s="163" t="s">
        <v>241</v>
      </c>
      <c r="M52" s="164"/>
      <c r="N52" s="165" t="str">
        <f>IF(M52="","m","")</f>
        <v>m</v>
      </c>
      <c r="O52" s="166"/>
      <c r="P52" s="167" t="s">
        <v>196</v>
      </c>
      <c r="Q52" s="192" t="s">
        <v>171</v>
      </c>
      <c r="R52" s="154">
        <f>(IF(COUNT(Z52,AA52,AB52,AC52,AD52,AE52,AF52,AG52,AH52,AI52)&lt;10,SUM(Z52,AA52,AB52,AC52,AD52,AE52,AF52,AG52,AH52,AI52),SUM(LARGE((Z52,AA52,AB52,AC52,AD52,AE52,AF52,AG52,AH52,AI52),{1;2;3;4;5;6;7;8;9}))))</f>
        <v>4</v>
      </c>
      <c r="S52" s="193" t="str">
        <f>INDEX(ETAPP!B$1:B$32,MATCH(COUNTIF(BI52:BR52,1),ETAPP!A$1:A$32,0))&amp;INDEX(ETAPP!B$1:B$32,MATCH(COUNTIF(BI52:BR52,2),ETAPP!A$1:A$32,0))&amp;INDEX(ETAPP!B$1:B$32,MATCH(COUNTIF(BI52:BR52,3),ETAPP!A$1:A$32,0))&amp;INDEX(ETAPP!B$1:B$32,MATCH(COUNTIF(BI52:BR52,4),ETAPP!A$1:A$32,0))&amp;INDEX(ETAPP!B$1:B$32,MATCH(COUNTIF(BI52:BR52,5),ETAPP!A$1:A$32,0))&amp;INDEX(ETAPP!B$1:B$32,MATCH(COUNTIF(BI52:BR52,6),ETAPP!A$1:A$32,0))&amp;INDEX(ETAPP!B$1:B$32,MATCH(COUNTIF(BI52:BR52,7),ETAPP!A$1:A$32,0))&amp;INDEX(ETAPP!B$1:B$32,MATCH(COUNTIF(BI52:BR52,8),ETAPP!A$1:A$32,0))&amp;INDEX(ETAPP!B$1:B$32,MATCH(COUNTIF(BI52:BR52,9),ETAPP!A$1:A$32,0))&amp;INDEX(ETAPP!B$1:B$32,MATCH(COUNTIF(BI52:BR52,10),ETAPP!A$1:A$32,0))&amp;INDEX(ETAPP!B$1:B$32,MATCH(COUNTIF(BI52:BR52,11),ETAPP!A$1:A$32,0))&amp;INDEX(ETAPP!B$1:B$32,MATCH(COUNTIF(BI52:BR52,12),ETAPP!A$1:A$32,0))&amp;INDEX(ETAPP!B$1:B$32,MATCH(COUNTIF(BI52:BR52,13),ETAPP!A$1:A$32,0))&amp;INDEX(ETAPP!B$1:B$32,MATCH(COUNTIF(BI52:BR52,14),ETAPP!A$1:A$32,0))&amp;INDEX(ETAPP!B$1:B$32,MATCH(COUNTIF(BI52:BR52,15),ETAPP!A$1:A$32,0))&amp;INDEX(ETAPP!B$1:B$32,MATCH(COUNTIF(BI52:BR52,16),ETAPP!A$1:A$32,0))&amp;INDEX(ETAPP!B$1:B$32,MATCH(COUNTIF(BI52:BR52,17),ETAPP!A$1:A$32,0))&amp;INDEX(ETAPP!B$1:B$32,MATCH(COUNTIF(BI52:BR52,18),ETAPP!A$1:A$32,0))&amp;INDEX(ETAPP!B$1:B$32,MATCH(COUNTIF(BI52:BR52,19),ETAPP!A$1:A$32,0))&amp;INDEX(ETAPP!B$1:B$32,MATCH(COUNTIF(BI52:BR52,20),ETAPP!A$1:A$32,0))&amp;INDEX(ETAPP!B$1:B$32,MATCH(COUNTIF(BI52:BR52,21),ETAPP!A$1:A$32,0))</f>
        <v>000000000000A00000000</v>
      </c>
      <c r="T52" s="193" t="str">
        <f>TEXT(R52,"000,0")&amp;"-"&amp;S52</f>
        <v>004,0-000000000000A00000000</v>
      </c>
      <c r="U52" s="193">
        <f>COUNTIF(T$7:T$126,"&gt;="&amp;T52)</f>
        <v>46</v>
      </c>
      <c r="V52" s="193">
        <f>COUNTIF(L$7:L$126,"&gt;="&amp;L52)</f>
        <v>15</v>
      </c>
      <c r="W52" s="193" t="str">
        <f>TEXT(R52,"000,0")&amp;"-"&amp;S52&amp;"-"&amp;TEXT(V52,"000")</f>
        <v>004,0-000000000000A00000000-015</v>
      </c>
      <c r="X52" s="193">
        <f>COUNTIF(W$7:W$126,"&gt;="&amp;W52)</f>
        <v>46</v>
      </c>
      <c r="Y52" s="201">
        <f>RANK(X52,X$7:X$126,0)</f>
        <v>75</v>
      </c>
      <c r="Z52" s="202" t="str">
        <f>IFERROR(INDEX('V1'!C$300:C$400,MATCH("*"&amp;L52&amp;"*",'V1'!B$300:B$400,0)),"  ")</f>
        <v>  </v>
      </c>
      <c r="AA52" s="202" t="str">
        <f>IFERROR(INDEX('V2'!C$300:C$400,MATCH("*"&amp;L52&amp;"*",'V2'!B$300:B$400,0)),"  ")</f>
        <v>  </v>
      </c>
      <c r="AB52" s="202" t="str">
        <f>IFERROR(INDEX('V3'!C$300:C$400,MATCH("*"&amp;L52&amp;"*",'V3'!B$300:B$400,0)),"  ")</f>
        <v>  </v>
      </c>
      <c r="AC52" s="202" t="str">
        <f>IFERROR(INDEX('V4'!C$300:C$400,MATCH("*"&amp;L52&amp;"*",'V4'!B$300:B$400,0)),"  ")</f>
        <v>  </v>
      </c>
      <c r="AD52" s="202" t="str">
        <f>IFERROR(INDEX('V5'!C$300:C$400,MATCH("*"&amp;L52&amp;"*",'V5'!B$300:B$400,0)),"  ")</f>
        <v>  </v>
      </c>
      <c r="AE52" s="202" t="str">
        <f>IFERROR(INDEX('V6'!C$300:C$400,MATCH("*"&amp;L52&amp;"*",'V6'!B$300:B$400,0)),"  ")</f>
        <v>  </v>
      </c>
      <c r="AF52" s="202">
        <f>IFERROR(INDEX('V7'!C$300:C$400,MATCH("*"&amp;L52&amp;"*",'V7'!B$300:B$400,0)),"  ")</f>
        <v>4</v>
      </c>
      <c r="AG52" s="202" t="str">
        <f>IFERROR(INDEX('V8'!C$300:C$400,MATCH("*"&amp;L52&amp;"*",'V8'!B$300:B$400,0)),"  ")</f>
        <v>  </v>
      </c>
      <c r="AH52" s="202"/>
      <c r="AI52" s="202"/>
      <c r="AJ52" s="222" t="str">
        <f>IF(AN52&gt;(AT$2-1),K52,"")</f>
        <v/>
      </c>
      <c r="AK52" s="223">
        <f>SUM(Z52:AI52)</f>
        <v>4</v>
      </c>
      <c r="AL52" s="224">
        <f>IFERROR("edasi "&amp;RANK(AJ52,AJ$7:AJ$126,1),K52)</f>
        <v>45</v>
      </c>
      <c r="AM52" s="225" t="str">
        <f>IFERROR(INDEX(#REF!,MATCH("*"&amp;L52&amp;"*",#REF!,0)),"  ")</f>
        <v>  </v>
      </c>
      <c r="AN52" s="226">
        <f>COUNTIF(Z52:AI52,"&gt;=0")</f>
        <v>1</v>
      </c>
      <c r="AO52" s="126">
        <f>IFERROR(IF(Z52+1&gt;LARGE(Z$7:Z$126,1)-2*LEN(Z$5),1),0)+IFERROR(IF(AA52+1&gt;LARGE(AA$7:AA$126,1)-2*LEN(AA$5),1),0)+IFERROR(IF(AB52+1&gt;LARGE(AB$7:AB$126,1)-2*LEN(AB$5),1),0)+IFERROR(IF(AC52+1&gt;LARGE(AC$7:AC$126,1)-2*LEN(AC$5),1),0)+IFERROR(IF(AD52+1&gt;LARGE(AD$7:AD$126,1)-2*LEN(AD$5),1),0)+IFERROR(IF(AE52+1&gt;LARGE(AE$7:AE$126,1)-2*LEN(AE$5),1),0)+IFERROR(IF(AF52+1&gt;LARGE(AF$7:AF$126,1)-2*LEN(AF$5),1),0)+IFERROR(IF(AG52+1&gt;LARGE(AG$7:AG$126,1)-2*LEN(AG$5),1),0)+IFERROR(IF(AH52+1&gt;LARGE(AH$7:AH$126,1)-2*LEN(AH$5),1),0)+IFERROR(IF(AI52+1&gt;LARGE(AI$7:AI$126,1)-2*LEN(AI$5),1),0)</f>
        <v>0</v>
      </c>
      <c r="AP52" s="126">
        <f>IF(Z52=0,0,IF(Z52=IFERROR(LARGE(Z$7:Z$126,1),0),1,0))+IF(AA52=0,0,IF(AA52=IFERROR(LARGE(AA$7:AA$126,1),0),1,0))+IF(AB52=0,0,IF(AB52=IFERROR(LARGE(AB$7:AB$126,1),0),1,0))+IF(AC52=0,0,IF(AC52=IFERROR(LARGE(AC$7:AC$126,1),0),1,0))+IF(AD52=0,0,IF(AD52=IFERROR(LARGE(AD$7:AD$126,1),0),1,0))+IF(AE52=0,0,IF(AE52=IFERROR(LARGE(AE$7:AE$126,1),0),1,0))+IF(AF52=0,0,IF(AF52=IFERROR(LARGE(AF$7:AF$126,1),0),1,0))+IF(AG52=0,0,IF(AG52=IFERROR(LARGE(AG$7:AG$126,1),0),1,0))+IF(AH52=0,0,IF(AH52=IFERROR(LARGE(AH$7:AH$126,1),0),1,0))+IF(AI52=0,0,IF(AI52=IFERROR(LARGE(AI$7:AI$126,1),0),1,0))</f>
        <v>0</v>
      </c>
      <c r="AQ52" s="233"/>
      <c r="AR52" s="233"/>
      <c r="AS52" s="233"/>
      <c r="AT52" s="234">
        <f>SMALL(AU52:BD52,AT$3)</f>
        <v>0.0001</v>
      </c>
      <c r="AU52" s="235">
        <f>IF(Z52="  ",0+MID(Z$6,FIND("V",Z$6)+1,256)/10000,Z52+MID(Z$6,FIND("V",Z$6)+1,256)/10000)</f>
        <v>0.0001</v>
      </c>
      <c r="AV52" s="235">
        <f>IF(AA52="  ",0+MID(AA$6,FIND("V",AA$6)+1,256)/10000,AA52+MID(AA$6,FIND("V",AA$6)+1,256)/10000)</f>
        <v>0.0002</v>
      </c>
      <c r="AW52" s="235">
        <f>IF(AB52="  ",0+MID(AB$6,FIND("V",AB$6)+1,256)/10000,AB52+MID(AB$6,FIND("V",AB$6)+1,256)/10000)</f>
        <v>0.0003</v>
      </c>
      <c r="AX52" s="235">
        <f>IF(AC52="  ",0+MID(AC$6,FIND("V",AC$6)+1,256)/10000,AC52+MID(AC$6,FIND("V",AC$6)+1,256)/10000)</f>
        <v>0.0004</v>
      </c>
      <c r="AY52" s="235">
        <f>IF(AD52="  ",0+MID(AD$6,FIND("V",AD$6)+1,256)/10000,AD52+MID(AD$6,FIND("V",AD$6)+1,256)/10000)</f>
        <v>0.0005</v>
      </c>
      <c r="AZ52" s="235">
        <f>IF(AE52="  ",0+MID(AE$6,FIND("V",AE$6)+1,256)/10000,AE52+MID(AE$6,FIND("V",AE$6)+1,256)/10000)</f>
        <v>0.0006</v>
      </c>
      <c r="BA52" s="235">
        <f>IF(AF52="  ",0+MID(AF$6,FIND("V",AF$6)+1,256)/10000,AF52+MID(AF$6,FIND("V",AF$6)+1,256)/10000)</f>
        <v>4.0007</v>
      </c>
      <c r="BB52" s="235">
        <f>IF(AG52="  ",0+MID(AG$6,FIND("V",AG$6)+1,256)/10000,AG52+MID(AG$6,FIND("V",AG$6)+1,256)/10000)</f>
        <v>0.0008</v>
      </c>
      <c r="BC52" s="235">
        <f>IF(AH52="  ",0+MID(AH$6,FIND("V",AH$6)+1,256)/10000,AH52+MID(AH$6,FIND("V",AH$6)+1,256)/10000)</f>
        <v>0.0009</v>
      </c>
      <c r="BD52" s="235">
        <f>IF(AI52="  ",0+MID(AI$6,FIND("V",AI$6)+1,256)/10000,AI52+MID(AI$6,FIND("V",AI$6)+1,256)/10000)</f>
        <v>0.001</v>
      </c>
      <c r="BE52" s="233"/>
      <c r="BF52" s="233"/>
      <c r="BG52" s="233"/>
      <c r="BH52" s="233"/>
      <c r="BI52" s="3" t="e">
        <f>(LARGE(Z$7:Z$126,1)-Z52)/2+1</f>
        <v>#VALUE!</v>
      </c>
      <c r="BJ52" s="3" t="e">
        <f>(LARGE(AA$7:AA$126,1)-AA52)/2+1</f>
        <v>#VALUE!</v>
      </c>
      <c r="BK52" s="3" t="e">
        <f>(LARGE(AB$7:AB$126,1)-AB52)/2+1</f>
        <v>#VALUE!</v>
      </c>
      <c r="BL52" s="3" t="e">
        <f>(LARGE(AC$7:AC$126,1)-AC52)/2+1</f>
        <v>#VALUE!</v>
      </c>
      <c r="BM52" s="3" t="e">
        <f>(LARGE(AD$7:AD$126,1)-AD52)/2+1</f>
        <v>#VALUE!</v>
      </c>
      <c r="BN52" s="3" t="e">
        <f>(LARGE(AE$7:AE$126,1)-AE52)/2+1</f>
        <v>#VALUE!</v>
      </c>
      <c r="BO52" s="3">
        <f>(LARGE(AF$7:AF$126,1)-AF52)/2+1</f>
        <v>13</v>
      </c>
      <c r="BP52" s="3" t="e">
        <f>(LARGE(AG$7:AG$126,1)-AG52)/2+1</f>
        <v>#VALUE!</v>
      </c>
      <c r="BQ52" s="3" t="e">
        <f>(LARGE(AH$7:AH$126,1)-AH52)/2+1</f>
        <v>#NUM!</v>
      </c>
      <c r="BR52" s="3" t="e">
        <f>(LARGE(AI$7:AI$126,1)-AI52)/2+1</f>
        <v>#NUM!</v>
      </c>
    </row>
    <row r="53" ht="12.75" customHeight="1" spans="1:70">
      <c r="A53" s="139" t="str">
        <f>IF(R53&gt;0,IF(Q53="Viru SK",RANK(B53,B$7:B$126,1)-COUNTIF((Q$7:Q$126),"&lt;&gt;Viru SK"),""),"")</f>
        <v/>
      </c>
      <c r="B53" s="140">
        <f>IF((Q53="Viru SK"),U53,U53-1000)</f>
        <v>-953</v>
      </c>
      <c r="C53" s="141" t="str">
        <f>IF(R53&gt;0,IF(P53="t",RANK(D53,D$7:D$126,1)-COUNTBLANK(P$7:P$126),""),"")</f>
        <v/>
      </c>
      <c r="D53" s="142">
        <f>IF((P53="t"),U53,U53-1000)</f>
        <v>-953</v>
      </c>
      <c r="E53" s="143" t="str">
        <f>IF(R53&gt;0,IF(N53="m",RANK(F53,F$7:F$126,1)-COUNTBLANK(N$7:N$126),""),"")</f>
        <v/>
      </c>
      <c r="F53" s="144">
        <f>IF((N53="m"),U53,U53-1000)</f>
        <v>-953</v>
      </c>
      <c r="G53" s="145">
        <f>IF(R53&gt;0,IF(M53="n",RANK(H53,H$7:H$126,1)-COUNTBLANK(M$7:M$126),""),"")</f>
        <v>10</v>
      </c>
      <c r="H53" s="144">
        <f>IF((M53="n"),U53,U53-1000)</f>
        <v>47</v>
      </c>
      <c r="I53" s="160" t="str">
        <f>IF(R53&gt;0,IF(O53="j",RANK(J53,J$7:J$126,1)-COUNTBLANK(O$7:O$126),""),"")</f>
        <v/>
      </c>
      <c r="J53" s="161">
        <f>IF((O53="j"),U53,U53-1000)</f>
        <v>-953</v>
      </c>
      <c r="K53" s="162">
        <f>IF(R53&gt;0,RANK(U53,U$7:U$126,1),"")</f>
        <v>47</v>
      </c>
      <c r="L53" s="163" t="s">
        <v>242</v>
      </c>
      <c r="M53" s="164" t="s">
        <v>203</v>
      </c>
      <c r="N53" s="165"/>
      <c r="O53" s="166"/>
      <c r="P53" s="167"/>
      <c r="Q53" s="192"/>
      <c r="R53" s="154">
        <f>(IF(COUNT(Z53,AA53,AB53,AC53,AD53,AE53,AF53,AG53,AH53,AI53)&lt;10,SUM(Z53,AA53,AB53,AC53,AD53,AE53,AF53,AG53,AH53,AI53),SUM(LARGE((Z53,AA53,AB53,AC53,AD53,AE53,AF53,AG53,AH53,AI53),{1;2;3;4;5;6;7;8;9}))))</f>
        <v>2</v>
      </c>
      <c r="S53" s="193" t="str">
        <f>INDEX(ETAPP!B$1:B$32,MATCH(COUNTIF(BI53:BR53,1),ETAPP!A$1:A$32,0))&amp;INDEX(ETAPP!B$1:B$32,MATCH(COUNTIF(BI53:BR53,2),ETAPP!A$1:A$32,0))&amp;INDEX(ETAPP!B$1:B$32,MATCH(COUNTIF(BI53:BR53,3),ETAPP!A$1:A$32,0))&amp;INDEX(ETAPP!B$1:B$32,MATCH(COUNTIF(BI53:BR53,4),ETAPP!A$1:A$32,0))&amp;INDEX(ETAPP!B$1:B$32,MATCH(COUNTIF(BI53:BR53,5),ETAPP!A$1:A$32,0))&amp;INDEX(ETAPP!B$1:B$32,MATCH(COUNTIF(BI53:BR53,6),ETAPP!A$1:A$32,0))&amp;INDEX(ETAPP!B$1:B$32,MATCH(COUNTIF(BI53:BR53,7),ETAPP!A$1:A$32,0))&amp;INDEX(ETAPP!B$1:B$32,MATCH(COUNTIF(BI53:BR53,8),ETAPP!A$1:A$32,0))&amp;INDEX(ETAPP!B$1:B$32,MATCH(COUNTIF(BI53:BR53,9),ETAPP!A$1:A$32,0))&amp;INDEX(ETAPP!B$1:B$32,MATCH(COUNTIF(BI53:BR53,10),ETAPP!A$1:A$32,0))&amp;INDEX(ETAPP!B$1:B$32,MATCH(COUNTIF(BI53:BR53,11),ETAPP!A$1:A$32,0))&amp;INDEX(ETAPP!B$1:B$32,MATCH(COUNTIF(BI53:BR53,12),ETAPP!A$1:A$32,0))&amp;INDEX(ETAPP!B$1:B$32,MATCH(COUNTIF(BI53:BR53,13),ETAPP!A$1:A$32,0))&amp;INDEX(ETAPP!B$1:B$32,MATCH(COUNTIF(BI53:BR53,14),ETAPP!A$1:A$32,0))&amp;INDEX(ETAPP!B$1:B$32,MATCH(COUNTIF(BI53:BR53,15),ETAPP!A$1:A$32,0))&amp;INDEX(ETAPP!B$1:B$32,MATCH(COUNTIF(BI53:BR53,16),ETAPP!A$1:A$32,0))&amp;INDEX(ETAPP!B$1:B$32,MATCH(COUNTIF(BI53:BR53,17),ETAPP!A$1:A$32,0))&amp;INDEX(ETAPP!B$1:B$32,MATCH(COUNTIF(BI53:BR53,18),ETAPP!A$1:A$32,0))&amp;INDEX(ETAPP!B$1:B$32,MATCH(COUNTIF(BI53:BR53,19),ETAPP!A$1:A$32,0))&amp;INDEX(ETAPP!B$1:B$32,MATCH(COUNTIF(BI53:BR53,20),ETAPP!A$1:A$32,0))&amp;INDEX(ETAPP!B$1:B$32,MATCH(COUNTIF(BI53:BR53,21),ETAPP!A$1:A$32,0))</f>
        <v>000000000000A00000000</v>
      </c>
      <c r="T53" s="193" t="str">
        <f>TEXT(R53,"000,0")&amp;"-"&amp;S53</f>
        <v>002,0-000000000000A00000000</v>
      </c>
      <c r="U53" s="193">
        <f>COUNTIF(T$7:T$126,"&gt;="&amp;T53)</f>
        <v>47</v>
      </c>
      <c r="V53" s="193">
        <f>COUNTIF(L$7:L$126,"&gt;="&amp;L53)</f>
        <v>7</v>
      </c>
      <c r="W53" s="193" t="str">
        <f>TEXT(R53,"000,0")&amp;"-"&amp;S53&amp;"-"&amp;TEXT(V53,"000")</f>
        <v>002,0-000000000000A00000000-007</v>
      </c>
      <c r="X53" s="193">
        <f>COUNTIF(W$7:W$126,"&gt;="&amp;W53)</f>
        <v>47</v>
      </c>
      <c r="Y53" s="201">
        <f>RANK(X53,X$7:X$126,0)</f>
        <v>74</v>
      </c>
      <c r="Z53" s="202" t="str">
        <f>IFERROR(INDEX('V1'!C$300:C$400,MATCH("*"&amp;L53&amp;"*",'V1'!B$300:B$400,0)),"  ")</f>
        <v>  </v>
      </c>
      <c r="AA53" s="202" t="str">
        <f>IFERROR(INDEX('V2'!C$300:C$400,MATCH("*"&amp;L53&amp;"*",'V2'!B$300:B$400,0)),"  ")</f>
        <v>  </v>
      </c>
      <c r="AB53" s="202" t="str">
        <f>IFERROR(INDEX('V3'!C$300:C$400,MATCH("*"&amp;L53&amp;"*",'V3'!B$300:B$400,0)),"  ")</f>
        <v>  </v>
      </c>
      <c r="AC53" s="202" t="str">
        <f>IFERROR(INDEX('V4'!C$300:C$400,MATCH("*"&amp;L53&amp;"*",'V4'!B$300:B$400,0)),"  ")</f>
        <v>  </v>
      </c>
      <c r="AD53" s="202" t="str">
        <f>IFERROR(INDEX('V5'!C$300:C$400,MATCH("*"&amp;L53&amp;"*",'V5'!B$300:B$400,0)),"  ")</f>
        <v>  </v>
      </c>
      <c r="AE53" s="202" t="str">
        <f>IFERROR(INDEX('V6'!C$300:C$400,MATCH("*"&amp;L53&amp;"*",'V6'!B$300:B$400,0)),"  ")</f>
        <v>  </v>
      </c>
      <c r="AF53" s="202" t="str">
        <f>IFERROR(INDEX('V7'!C$300:C$400,MATCH("*"&amp;L53&amp;"*",'V7'!B$300:B$400,0)),"  ")</f>
        <v>  </v>
      </c>
      <c r="AG53" s="202">
        <f>IFERROR(INDEX('V8'!C$300:C$400,MATCH("*"&amp;L53&amp;"*",'V8'!B$300:B$400,0)),"  ")</f>
        <v>2</v>
      </c>
      <c r="AH53" s="202"/>
      <c r="AI53" s="202"/>
      <c r="AJ53" s="222" t="str">
        <f>IF(AN53&gt;(AT$2-1),K53,"")</f>
        <v/>
      </c>
      <c r="AK53" s="223">
        <f>SUM(Z53:AI53)</f>
        <v>2</v>
      </c>
      <c r="AL53" s="224">
        <f>IFERROR("edasi "&amp;RANK(AJ53,AJ$7:AJ$126,1),K53)</f>
        <v>47</v>
      </c>
      <c r="AM53" s="225" t="str">
        <f>IFERROR(INDEX(#REF!,MATCH("*"&amp;L53&amp;"*",#REF!,0)),"  ")</f>
        <v>  </v>
      </c>
      <c r="AN53" s="226">
        <f>COUNTIF(Z53:AI53,"&gt;=0")</f>
        <v>1</v>
      </c>
      <c r="AO53" s="126">
        <f>IFERROR(IF(Z53+1&gt;LARGE(Z$7:Z$126,1)-2*LEN(Z$5),1),0)+IFERROR(IF(AA53+1&gt;LARGE(AA$7:AA$126,1)-2*LEN(AA$5),1),0)+IFERROR(IF(AB53+1&gt;LARGE(AB$7:AB$126,1)-2*LEN(AB$5),1),0)+IFERROR(IF(AC53+1&gt;LARGE(AC$7:AC$126,1)-2*LEN(AC$5),1),0)+IFERROR(IF(AD53+1&gt;LARGE(AD$7:AD$126,1)-2*LEN(AD$5),1),0)+IFERROR(IF(AE53+1&gt;LARGE(AE$7:AE$126,1)-2*LEN(AE$5),1),0)+IFERROR(IF(AF53+1&gt;LARGE(AF$7:AF$126,1)-2*LEN(AF$5),1),0)+IFERROR(IF(AG53+1&gt;LARGE(AG$7:AG$126,1)-2*LEN(AG$5),1),0)+IFERROR(IF(AH53+1&gt;LARGE(AH$7:AH$126,1)-2*LEN(AH$5),1),0)+IFERROR(IF(AI53+1&gt;LARGE(AI$7:AI$126,1)-2*LEN(AI$5),1),0)</f>
        <v>0</v>
      </c>
      <c r="AP53" s="126">
        <f>IF(Z53=0,0,IF(Z53=IFERROR(LARGE(Z$7:Z$126,1),0),1,0))+IF(AA53=0,0,IF(AA53=IFERROR(LARGE(AA$7:AA$126,1),0),1,0))+IF(AB53=0,0,IF(AB53=IFERROR(LARGE(AB$7:AB$126,1),0),1,0))+IF(AC53=0,0,IF(AC53=IFERROR(LARGE(AC$7:AC$126,1),0),1,0))+IF(AD53=0,0,IF(AD53=IFERROR(LARGE(AD$7:AD$126,1),0),1,0))+IF(AE53=0,0,IF(AE53=IFERROR(LARGE(AE$7:AE$126,1),0),1,0))+IF(AF53=0,0,IF(AF53=IFERROR(LARGE(AF$7:AF$126,1),0),1,0))+IF(AG53=0,0,IF(AG53=IFERROR(LARGE(AG$7:AG$126,1),0),1,0))+IF(AH53=0,0,IF(AH53=IFERROR(LARGE(AH$7:AH$126,1),0),1,0))+IF(AI53=0,0,IF(AI53=IFERROR(LARGE(AI$7:AI$126,1),0),1,0))</f>
        <v>0</v>
      </c>
      <c r="AQ53" s="233"/>
      <c r="AR53" s="233"/>
      <c r="AS53" s="233"/>
      <c r="AT53" s="234">
        <f>SMALL(AU53:BD53,AT$3)</f>
        <v>0.0001</v>
      </c>
      <c r="AU53" s="235">
        <f>IF(Z53="  ",0+MID(Z$6,FIND("V",Z$6)+1,256)/10000,Z53+MID(Z$6,FIND("V",Z$6)+1,256)/10000)</f>
        <v>0.0001</v>
      </c>
      <c r="AV53" s="235">
        <f>IF(AA53="  ",0+MID(AA$6,FIND("V",AA$6)+1,256)/10000,AA53+MID(AA$6,FIND("V",AA$6)+1,256)/10000)</f>
        <v>0.0002</v>
      </c>
      <c r="AW53" s="235">
        <f>IF(AB53="  ",0+MID(AB$6,FIND("V",AB$6)+1,256)/10000,AB53+MID(AB$6,FIND("V",AB$6)+1,256)/10000)</f>
        <v>0.0003</v>
      </c>
      <c r="AX53" s="235">
        <f>IF(AC53="  ",0+MID(AC$6,FIND("V",AC$6)+1,256)/10000,AC53+MID(AC$6,FIND("V",AC$6)+1,256)/10000)</f>
        <v>0.0004</v>
      </c>
      <c r="AY53" s="235">
        <f>IF(AD53="  ",0+MID(AD$6,FIND("V",AD$6)+1,256)/10000,AD53+MID(AD$6,FIND("V",AD$6)+1,256)/10000)</f>
        <v>0.0005</v>
      </c>
      <c r="AZ53" s="235">
        <f>IF(AE53="  ",0+MID(AE$6,FIND("V",AE$6)+1,256)/10000,AE53+MID(AE$6,FIND("V",AE$6)+1,256)/10000)</f>
        <v>0.0006</v>
      </c>
      <c r="BA53" s="235">
        <f>IF(AF53="  ",0+MID(AF$6,FIND("V",AF$6)+1,256)/10000,AF53+MID(AF$6,FIND("V",AF$6)+1,256)/10000)</f>
        <v>0.0007</v>
      </c>
      <c r="BB53" s="235">
        <f>IF(AG53="  ",0+MID(AG$6,FIND("V",AG$6)+1,256)/10000,AG53+MID(AG$6,FIND("V",AG$6)+1,256)/10000)</f>
        <v>2.0008</v>
      </c>
      <c r="BC53" s="235">
        <f>IF(AH53="  ",0+MID(AH$6,FIND("V",AH$6)+1,256)/10000,AH53+MID(AH$6,FIND("V",AH$6)+1,256)/10000)</f>
        <v>0.0009</v>
      </c>
      <c r="BD53" s="235">
        <f>IF(AI53="  ",0+MID(AI$6,FIND("V",AI$6)+1,256)/10000,AI53+MID(AI$6,FIND("V",AI$6)+1,256)/10000)</f>
        <v>0.001</v>
      </c>
      <c r="BE53" s="233"/>
      <c r="BF53" s="233"/>
      <c r="BG53" s="233"/>
      <c r="BH53" s="233"/>
      <c r="BI53" s="3" t="e">
        <f>(LARGE(Z$7:Z$126,1)-Z53)/2+1</f>
        <v>#VALUE!</v>
      </c>
      <c r="BJ53" s="3" t="e">
        <f>(LARGE(AA$7:AA$126,1)-AA53)/2+1</f>
        <v>#VALUE!</v>
      </c>
      <c r="BK53" s="3" t="e">
        <f>(LARGE(AB$7:AB$126,1)-AB53)/2+1</f>
        <v>#VALUE!</v>
      </c>
      <c r="BL53" s="3" t="e">
        <f>(LARGE(AC$7:AC$126,1)-AC53)/2+1</f>
        <v>#VALUE!</v>
      </c>
      <c r="BM53" s="3" t="e">
        <f>(LARGE(AD$7:AD$126,1)-AD53)/2+1</f>
        <v>#VALUE!</v>
      </c>
      <c r="BN53" s="3" t="e">
        <f>(LARGE(AE$7:AE$126,1)-AE53)/2+1</f>
        <v>#VALUE!</v>
      </c>
      <c r="BO53" s="3" t="e">
        <f>(LARGE(AF$7:AF$126,1)-AF53)/2+1</f>
        <v>#VALUE!</v>
      </c>
      <c r="BP53" s="3">
        <f>(LARGE(AG$7:AG$126,1)-AG53)/2+1</f>
        <v>13</v>
      </c>
      <c r="BQ53" s="3" t="e">
        <f>(LARGE(AH$7:AH$126,1)-AH53)/2+1</f>
        <v>#NUM!</v>
      </c>
      <c r="BR53" s="3" t="e">
        <f>(LARGE(AI$7:AI$126,1)-AI53)/2+1</f>
        <v>#NUM!</v>
      </c>
    </row>
    <row r="54" ht="12.75" customHeight="1" spans="1:70">
      <c r="A54" s="139" t="str">
        <f>IF(R54&gt;0,IF(Q54="Viru SK",RANK(B54,B$7:B$126,1)-COUNTIF((Q$7:Q$126),"&lt;&gt;Viru SK"),""),"")</f>
        <v/>
      </c>
      <c r="B54" s="140">
        <f>IF((Q54="Viru SK"),U54,U54-1000)</f>
        <v>-951</v>
      </c>
      <c r="C54" s="141">
        <f>IF(R54&gt;0,IF(P54="t",RANK(D54,D$7:D$126,1)-COUNTBLANK(P$7:P$126),""),"")</f>
        <v>21</v>
      </c>
      <c r="D54" s="142">
        <f>IF((P54="t"),U54,U54-1000)</f>
        <v>49</v>
      </c>
      <c r="E54" s="143" t="str">
        <f>IF(R54&gt;0,IF(N54="m",RANK(F54,F$7:F$126,1)-COUNTBLANK(N$7:N$126),""),"")</f>
        <v/>
      </c>
      <c r="F54" s="144">
        <f>IF((N54="m"),U54,U54-1000)</f>
        <v>-951</v>
      </c>
      <c r="G54" s="145" t="str">
        <f>IF(R54&gt;0,IF(M54="n",RANK(H54,H$7:H$126,1)-COUNTBLANK(M$7:M$126),""),"")</f>
        <v/>
      </c>
      <c r="H54" s="144">
        <f>IF((M54="n"),U54,U54-1000)</f>
        <v>-951</v>
      </c>
      <c r="I54" s="160" t="str">
        <f>IF(R54&gt;0,IF(O54="j",RANK(J54,J$7:J$126,1)-COUNTBLANK(O$7:O$126),""),"")</f>
        <v/>
      </c>
      <c r="J54" s="161">
        <f>IF((O54="j"),U54,U54-1000)</f>
        <v>-951</v>
      </c>
      <c r="K54" s="162">
        <f>IF(R54&gt;0,RANK(U54,U$7:U$126,1),"")</f>
        <v>48</v>
      </c>
      <c r="L54" s="163" t="s">
        <v>243</v>
      </c>
      <c r="M54" s="164"/>
      <c r="N54" s="165"/>
      <c r="O54" s="166"/>
      <c r="P54" s="167" t="s">
        <v>196</v>
      </c>
      <c r="Q54" s="192"/>
      <c r="R54" s="154">
        <f>(IF(COUNT(Z54,AA54,AB54,AC54,AD54,AE54,AF54,AG54,AH54,AI54)&lt;10,SUM(Z54,AA54,AB54,AC54,AD54,AE54,AF54,AG54,AH54,AI54),SUM(LARGE((Z54,AA54,AB54,AC54,AD54,AE54,AF54,AG54,AH54,AI54),{1;2;3;4;5;6;7;8;9}))))</f>
        <v>2</v>
      </c>
      <c r="S54" s="193" t="str">
        <f>INDEX(ETAPP!B$1:B$32,MATCH(COUNTIF(BI54:BR54,1),ETAPP!A$1:A$32,0))&amp;INDEX(ETAPP!B$1:B$32,MATCH(COUNTIF(BI54:BR54,2),ETAPP!A$1:A$32,0))&amp;INDEX(ETAPP!B$1:B$32,MATCH(COUNTIF(BI54:BR54,3),ETAPP!A$1:A$32,0))&amp;INDEX(ETAPP!B$1:B$32,MATCH(COUNTIF(BI54:BR54,4),ETAPP!A$1:A$32,0))&amp;INDEX(ETAPP!B$1:B$32,MATCH(COUNTIF(BI54:BR54,5),ETAPP!A$1:A$32,0))&amp;INDEX(ETAPP!B$1:B$32,MATCH(COUNTIF(BI54:BR54,6),ETAPP!A$1:A$32,0))&amp;INDEX(ETAPP!B$1:B$32,MATCH(COUNTIF(BI54:BR54,7),ETAPP!A$1:A$32,0))&amp;INDEX(ETAPP!B$1:B$32,MATCH(COUNTIF(BI54:BR54,8),ETAPP!A$1:A$32,0))&amp;INDEX(ETAPP!B$1:B$32,MATCH(COUNTIF(BI54:BR54,9),ETAPP!A$1:A$32,0))&amp;INDEX(ETAPP!B$1:B$32,MATCH(COUNTIF(BI54:BR54,10),ETAPP!A$1:A$32,0))&amp;INDEX(ETAPP!B$1:B$32,MATCH(COUNTIF(BI54:BR54,11),ETAPP!A$1:A$32,0))&amp;INDEX(ETAPP!B$1:B$32,MATCH(COUNTIF(BI54:BR54,12),ETAPP!A$1:A$32,0))&amp;INDEX(ETAPP!B$1:B$32,MATCH(COUNTIF(BI54:BR54,13),ETAPP!A$1:A$32,0))&amp;INDEX(ETAPP!B$1:B$32,MATCH(COUNTIF(BI54:BR54,14),ETAPP!A$1:A$32,0))&amp;INDEX(ETAPP!B$1:B$32,MATCH(COUNTIF(BI54:BR54,15),ETAPP!A$1:A$32,0))&amp;INDEX(ETAPP!B$1:B$32,MATCH(COUNTIF(BI54:BR54,16),ETAPP!A$1:A$32,0))&amp;INDEX(ETAPP!B$1:B$32,MATCH(COUNTIF(BI54:BR54,17),ETAPP!A$1:A$32,0))&amp;INDEX(ETAPP!B$1:B$32,MATCH(COUNTIF(BI54:BR54,18),ETAPP!A$1:A$32,0))&amp;INDEX(ETAPP!B$1:B$32,MATCH(COUNTIF(BI54:BR54,19),ETAPP!A$1:A$32,0))&amp;INDEX(ETAPP!B$1:B$32,MATCH(COUNTIF(BI54:BR54,20),ETAPP!A$1:A$32,0))&amp;INDEX(ETAPP!B$1:B$32,MATCH(COUNTIF(BI54:BR54,21),ETAPP!A$1:A$32,0))</f>
        <v>0000000000000A0000000</v>
      </c>
      <c r="T54" s="193" t="str">
        <f>TEXT(R54,"000,0")&amp;"-"&amp;S54</f>
        <v>002,0-0000000000000A0000000</v>
      </c>
      <c r="U54" s="193">
        <f>COUNTIF(T$7:T$126,"&gt;="&amp;T54)</f>
        <v>49</v>
      </c>
      <c r="V54" s="193">
        <f>COUNTIF(L$7:L$126,"&gt;="&amp;L54)</f>
        <v>76</v>
      </c>
      <c r="W54" s="193" t="str">
        <f>TEXT(R54,"000,0")&amp;"-"&amp;S54&amp;"-"&amp;TEXT(V54,"000")</f>
        <v>002,0-0000000000000A0000000-076</v>
      </c>
      <c r="X54" s="193">
        <f>COUNTIF(W$7:W$126,"&gt;="&amp;W54)</f>
        <v>48</v>
      </c>
      <c r="Y54" s="201">
        <f>RANK(X54,X$7:X$126,0)</f>
        <v>73</v>
      </c>
      <c r="Z54" s="202" t="str">
        <f>IFERROR(INDEX('V1'!C$300:C$400,MATCH("*"&amp;L54&amp;"*",'V1'!B$300:B$400,0)),"  ")</f>
        <v>  </v>
      </c>
      <c r="AA54" s="202">
        <f>IFERROR(INDEX('V2'!C$300:C$400,MATCH("*"&amp;L54&amp;"*",'V2'!B$300:B$400,0)),"  ")</f>
        <v>2</v>
      </c>
      <c r="AB54" s="202" t="str">
        <f>IFERROR(INDEX('V3'!C$300:C$400,MATCH("*"&amp;L54&amp;"*",'V3'!B$300:B$400,0)),"  ")</f>
        <v>  </v>
      </c>
      <c r="AC54" s="202" t="str">
        <f>IFERROR(INDEX('V4'!C$300:C$400,MATCH("*"&amp;L54&amp;"*",'V4'!B$300:B$400,0)),"  ")</f>
        <v>  </v>
      </c>
      <c r="AD54" s="202" t="str">
        <f>IFERROR(INDEX('V5'!C$300:C$400,MATCH("*"&amp;L54&amp;"*",'V5'!B$300:B$400,0)),"  ")</f>
        <v>  </v>
      </c>
      <c r="AE54" s="202" t="str">
        <f>IFERROR(INDEX('V6'!C$300:C$400,MATCH("*"&amp;L54&amp;"*",'V6'!B$300:B$400,0)),"  ")</f>
        <v>  </v>
      </c>
      <c r="AF54" s="202" t="str">
        <f>IFERROR(INDEX('V7'!C$300:C$400,MATCH("*"&amp;L54&amp;"*",'V7'!B$300:B$400,0)),"  ")</f>
        <v>  </v>
      </c>
      <c r="AG54" s="202" t="str">
        <f>IFERROR(INDEX('V8'!C$300:C$400,MATCH("*"&amp;L54&amp;"*",'V8'!B$300:B$400,0)),"  ")</f>
        <v>  </v>
      </c>
      <c r="AH54" s="202"/>
      <c r="AI54" s="202"/>
      <c r="AJ54" s="222" t="str">
        <f>IF(AN54&gt;(AT$2-1),K54,"")</f>
        <v/>
      </c>
      <c r="AK54" s="223">
        <f>SUM(Z54:AI54)</f>
        <v>2</v>
      </c>
      <c r="AL54" s="224">
        <f>IFERROR("edasi "&amp;RANK(AJ54,AJ$7:AJ$126,1),K54)</f>
        <v>48</v>
      </c>
      <c r="AM54" s="225" t="str">
        <f>IFERROR(INDEX(#REF!,MATCH("*"&amp;L54&amp;"*",#REF!,0)),"  ")</f>
        <v>  </v>
      </c>
      <c r="AN54" s="226">
        <f>COUNTIF(Z54:AI54,"&gt;=0")</f>
        <v>1</v>
      </c>
      <c r="AO54" s="126">
        <f>IFERROR(IF(Z54+1&gt;LARGE(Z$7:Z$126,1)-2*LEN(Z$5),1),0)+IFERROR(IF(AA54+1&gt;LARGE(AA$7:AA$126,1)-2*LEN(AA$5),1),0)+IFERROR(IF(AB54+1&gt;LARGE(AB$7:AB$126,1)-2*LEN(AB$5),1),0)+IFERROR(IF(AC54+1&gt;LARGE(AC$7:AC$126,1)-2*LEN(AC$5),1),0)+IFERROR(IF(AD54+1&gt;LARGE(AD$7:AD$126,1)-2*LEN(AD$5),1),0)+IFERROR(IF(AE54+1&gt;LARGE(AE$7:AE$126,1)-2*LEN(AE$5),1),0)+IFERROR(IF(AF54+1&gt;LARGE(AF$7:AF$126,1)-2*LEN(AF$5),1),0)+IFERROR(IF(AG54+1&gt;LARGE(AG$7:AG$126,1)-2*LEN(AG$5),1),0)+IFERROR(IF(AH54+1&gt;LARGE(AH$7:AH$126,1)-2*LEN(AH$5),1),0)+IFERROR(IF(AI54+1&gt;LARGE(AI$7:AI$126,1)-2*LEN(AI$5),1),0)</f>
        <v>0</v>
      </c>
      <c r="AP54" s="126">
        <f>IF(Z54=0,0,IF(Z54=IFERROR(LARGE(Z$7:Z$126,1),0),1,0))+IF(AA54=0,0,IF(AA54=IFERROR(LARGE(AA$7:AA$126,1),0),1,0))+IF(AB54=0,0,IF(AB54=IFERROR(LARGE(AB$7:AB$126,1),0),1,0))+IF(AC54=0,0,IF(AC54=IFERROR(LARGE(AC$7:AC$126,1),0),1,0))+IF(AD54=0,0,IF(AD54=IFERROR(LARGE(AD$7:AD$126,1),0),1,0))+IF(AE54=0,0,IF(AE54=IFERROR(LARGE(AE$7:AE$126,1),0),1,0))+IF(AF54=0,0,IF(AF54=IFERROR(LARGE(AF$7:AF$126,1),0),1,0))+IF(AG54=0,0,IF(AG54=IFERROR(LARGE(AG$7:AG$126,1),0),1,0))+IF(AH54=0,0,IF(AH54=IFERROR(LARGE(AH$7:AH$126,1),0),1,0))+IF(AI54=0,0,IF(AI54=IFERROR(LARGE(AI$7:AI$126,1),0),1,0))</f>
        <v>0</v>
      </c>
      <c r="AQ54" s="233"/>
      <c r="AR54" s="233"/>
      <c r="AS54" s="233"/>
      <c r="AT54" s="234">
        <f>SMALL(AU54:BD54,AT$3)</f>
        <v>0.0001</v>
      </c>
      <c r="AU54" s="235">
        <f>IF(Z54="  ",0+MID(Z$6,FIND("V",Z$6)+1,256)/10000,Z54+MID(Z$6,FIND("V",Z$6)+1,256)/10000)</f>
        <v>0.0001</v>
      </c>
      <c r="AV54" s="235">
        <f>IF(AA54="  ",0+MID(AA$6,FIND("V",AA$6)+1,256)/10000,AA54+MID(AA$6,FIND("V",AA$6)+1,256)/10000)</f>
        <v>2.0002</v>
      </c>
      <c r="AW54" s="235">
        <f>IF(AB54="  ",0+MID(AB$6,FIND("V",AB$6)+1,256)/10000,AB54+MID(AB$6,FIND("V",AB$6)+1,256)/10000)</f>
        <v>0.0003</v>
      </c>
      <c r="AX54" s="235">
        <f>IF(AC54="  ",0+MID(AC$6,FIND("V",AC$6)+1,256)/10000,AC54+MID(AC$6,FIND("V",AC$6)+1,256)/10000)</f>
        <v>0.0004</v>
      </c>
      <c r="AY54" s="235">
        <f>IF(AD54="  ",0+MID(AD$6,FIND("V",AD$6)+1,256)/10000,AD54+MID(AD$6,FIND("V",AD$6)+1,256)/10000)</f>
        <v>0.0005</v>
      </c>
      <c r="AZ54" s="235">
        <f>IF(AE54="  ",0+MID(AE$6,FIND("V",AE$6)+1,256)/10000,AE54+MID(AE$6,FIND("V",AE$6)+1,256)/10000)</f>
        <v>0.0006</v>
      </c>
      <c r="BA54" s="235">
        <f>IF(AF54="  ",0+MID(AF$6,FIND("V",AF$6)+1,256)/10000,AF54+MID(AF$6,FIND("V",AF$6)+1,256)/10000)</f>
        <v>0.0007</v>
      </c>
      <c r="BB54" s="235">
        <f>IF(AG54="  ",0+MID(AG$6,FIND("V",AG$6)+1,256)/10000,AG54+MID(AG$6,FIND("V",AG$6)+1,256)/10000)</f>
        <v>0.0008</v>
      </c>
      <c r="BC54" s="235">
        <f>IF(AH54="  ",0+MID(AH$6,FIND("V",AH$6)+1,256)/10000,AH54+MID(AH$6,FIND("V",AH$6)+1,256)/10000)</f>
        <v>0.0009</v>
      </c>
      <c r="BD54" s="235">
        <f>IF(AI54="  ",0+MID(AI$6,FIND("V",AI$6)+1,256)/10000,AI54+MID(AI$6,FIND("V",AI$6)+1,256)/10000)</f>
        <v>0.001</v>
      </c>
      <c r="BE54" s="233"/>
      <c r="BF54" s="233"/>
      <c r="BG54" s="233"/>
      <c r="BH54" s="233"/>
      <c r="BI54" s="3" t="e">
        <f>(LARGE(Z$7:Z$126,1)-Z54)/2+1</f>
        <v>#VALUE!</v>
      </c>
      <c r="BJ54" s="3">
        <f>(LARGE(AA$7:AA$126,1)-AA54)/2+1</f>
        <v>14</v>
      </c>
      <c r="BK54" s="3" t="e">
        <f>(LARGE(AB$7:AB$126,1)-AB54)/2+1</f>
        <v>#VALUE!</v>
      </c>
      <c r="BL54" s="3" t="e">
        <f>(LARGE(AC$7:AC$126,1)-AC54)/2+1</f>
        <v>#VALUE!</v>
      </c>
      <c r="BM54" s="3" t="e">
        <f>(LARGE(AD$7:AD$126,1)-AD54)/2+1</f>
        <v>#VALUE!</v>
      </c>
      <c r="BN54" s="3" t="e">
        <f>(LARGE(AE$7:AE$126,1)-AE54)/2+1</f>
        <v>#VALUE!</v>
      </c>
      <c r="BO54" s="3" t="e">
        <f>(LARGE(AF$7:AF$126,1)-AF54)/2+1</f>
        <v>#VALUE!</v>
      </c>
      <c r="BP54" s="3" t="e">
        <f>(LARGE(AG$7:AG$126,1)-AG54)/2+1</f>
        <v>#VALUE!</v>
      </c>
      <c r="BQ54" s="3" t="e">
        <f>(LARGE(AH$7:AH$126,1)-AH54)/2+1</f>
        <v>#NUM!</v>
      </c>
      <c r="BR54" s="3" t="e">
        <f>(LARGE(AI$7:AI$126,1)-AI54)/2+1</f>
        <v>#NUM!</v>
      </c>
    </row>
    <row r="55" ht="12.75" customHeight="1" spans="1:70">
      <c r="A55" s="139">
        <f>IF(R55&gt;0,IF(Q55="Viru SK",RANK(B55,B$7:B$126,1)-COUNTIF((Q$7:Q$126),"&lt;&gt;Viru SK"),""),"")</f>
        <v>33</v>
      </c>
      <c r="B55" s="140">
        <f>IF((Q55="Viru SK"),U55,U55-1000)</f>
        <v>49</v>
      </c>
      <c r="C55" s="141">
        <f>IF(R55&gt;0,IF(P55="t",RANK(D55,D$7:D$126,1)-COUNTBLANK(P$7:P$126),""),"")</f>
        <v>21</v>
      </c>
      <c r="D55" s="142">
        <f>IF((P55="t"),U55,U55-1000)</f>
        <v>49</v>
      </c>
      <c r="E55" s="143">
        <f>IF(R55&gt;0,IF(N55="m",RANK(F55,F$7:F$126,1)-COUNTBLANK(N$7:N$126),""),"")</f>
        <v>39</v>
      </c>
      <c r="F55" s="144">
        <f>IF((N55="m"),U55,U55-1000)</f>
        <v>49</v>
      </c>
      <c r="G55" s="145" t="str">
        <f>IF(R55&gt;0,IF(M55="n",RANK(H55,H$7:H$126,1)-COUNTBLANK(M$7:M$126),""),"")</f>
        <v/>
      </c>
      <c r="H55" s="144">
        <f>IF((M55="n"),U55,U55-1000)</f>
        <v>-951</v>
      </c>
      <c r="I55" s="160" t="str">
        <f>IF(R55&gt;0,IF(O55="j",RANK(J55,J$7:J$126,1)-COUNTBLANK(O$7:O$126),""),"")</f>
        <v/>
      </c>
      <c r="J55" s="161">
        <f>IF((O55="j"),U55,U55-1000)</f>
        <v>-951</v>
      </c>
      <c r="K55" s="162">
        <f>IF(R55&gt;0,RANK(U55,U$7:U$126,1),"")</f>
        <v>48</v>
      </c>
      <c r="L55" s="168" t="s">
        <v>244</v>
      </c>
      <c r="M55" s="164"/>
      <c r="N55" s="165" t="str">
        <f>IF(M55="","m","")</f>
        <v>m</v>
      </c>
      <c r="O55" s="166"/>
      <c r="P55" s="167" t="s">
        <v>196</v>
      </c>
      <c r="Q55" s="192" t="s">
        <v>171</v>
      </c>
      <c r="R55" s="154">
        <f>(IF(COUNT(Z55,AA55,AB55,AC55,AD55,AE55,AF55,AG55,AH55,AI55)&lt;10,SUM(Z55,AA55,AB55,AC55,AD55,AE55,AF55,AG55,AH55,AI55),SUM(LARGE((Z55,AA55,AB55,AC55,AD55,AE55,AF55,AG55,AH55,AI55),{1;2;3;4;5;6;7;8;9}))))</f>
        <v>2</v>
      </c>
      <c r="S55" s="193" t="str">
        <f>INDEX(ETAPP!B$1:B$32,MATCH(COUNTIF(BI55:BR55,1),ETAPP!A$1:A$32,0))&amp;INDEX(ETAPP!B$1:B$32,MATCH(COUNTIF(BI55:BR55,2),ETAPP!A$1:A$32,0))&amp;INDEX(ETAPP!B$1:B$32,MATCH(COUNTIF(BI55:BR55,3),ETAPP!A$1:A$32,0))&amp;INDEX(ETAPP!B$1:B$32,MATCH(COUNTIF(BI55:BR55,4),ETAPP!A$1:A$32,0))&amp;INDEX(ETAPP!B$1:B$32,MATCH(COUNTIF(BI55:BR55,5),ETAPP!A$1:A$32,0))&amp;INDEX(ETAPP!B$1:B$32,MATCH(COUNTIF(BI55:BR55,6),ETAPP!A$1:A$32,0))&amp;INDEX(ETAPP!B$1:B$32,MATCH(COUNTIF(BI55:BR55,7),ETAPP!A$1:A$32,0))&amp;INDEX(ETAPP!B$1:B$32,MATCH(COUNTIF(BI55:BR55,8),ETAPP!A$1:A$32,0))&amp;INDEX(ETAPP!B$1:B$32,MATCH(COUNTIF(BI55:BR55,9),ETAPP!A$1:A$32,0))&amp;INDEX(ETAPP!B$1:B$32,MATCH(COUNTIF(BI55:BR55,10),ETAPP!A$1:A$32,0))&amp;INDEX(ETAPP!B$1:B$32,MATCH(COUNTIF(BI55:BR55,11),ETAPP!A$1:A$32,0))&amp;INDEX(ETAPP!B$1:B$32,MATCH(COUNTIF(BI55:BR55,12),ETAPP!A$1:A$32,0))&amp;INDEX(ETAPP!B$1:B$32,MATCH(COUNTIF(BI55:BR55,13),ETAPP!A$1:A$32,0))&amp;INDEX(ETAPP!B$1:B$32,MATCH(COUNTIF(BI55:BR55,14),ETAPP!A$1:A$32,0))&amp;INDEX(ETAPP!B$1:B$32,MATCH(COUNTIF(BI55:BR55,15),ETAPP!A$1:A$32,0))&amp;INDEX(ETAPP!B$1:B$32,MATCH(COUNTIF(BI55:BR55,16),ETAPP!A$1:A$32,0))&amp;INDEX(ETAPP!B$1:B$32,MATCH(COUNTIF(BI55:BR55,17),ETAPP!A$1:A$32,0))&amp;INDEX(ETAPP!B$1:B$32,MATCH(COUNTIF(BI55:BR55,18),ETAPP!A$1:A$32,0))&amp;INDEX(ETAPP!B$1:B$32,MATCH(COUNTIF(BI55:BR55,19),ETAPP!A$1:A$32,0))&amp;INDEX(ETAPP!B$1:B$32,MATCH(COUNTIF(BI55:BR55,20),ETAPP!A$1:A$32,0))&amp;INDEX(ETAPP!B$1:B$32,MATCH(COUNTIF(BI55:BR55,21),ETAPP!A$1:A$32,0))</f>
        <v>0000000000000A0000000</v>
      </c>
      <c r="T55" s="193" t="str">
        <f>TEXT(R55,"000,0")&amp;"-"&amp;S55</f>
        <v>002,0-0000000000000A0000000</v>
      </c>
      <c r="U55" s="193">
        <f>COUNTIF(T$7:T$126,"&gt;="&amp;T55)</f>
        <v>49</v>
      </c>
      <c r="V55" s="193">
        <f>COUNTIF(L$7:L$126,"&gt;="&amp;L55)</f>
        <v>20</v>
      </c>
      <c r="W55" s="193" t="str">
        <f>TEXT(R55,"000,0")&amp;"-"&amp;S55&amp;"-"&amp;TEXT(V55,"000")</f>
        <v>002,0-0000000000000A0000000-020</v>
      </c>
      <c r="X55" s="193">
        <f>COUNTIF(W$7:W$126,"&gt;="&amp;W55)</f>
        <v>49</v>
      </c>
      <c r="Y55" s="201">
        <f>RANK(X55,X$7:X$126,0)</f>
        <v>72</v>
      </c>
      <c r="Z55" s="202" t="str">
        <f>IFERROR(INDEX('V1'!C$300:C$400,MATCH("*"&amp;L55&amp;"*",'V1'!B$300:B$400,0)),"  ")</f>
        <v>  </v>
      </c>
      <c r="AA55" s="202">
        <f>IFERROR(INDEX('V2'!C$300:C$400,MATCH("*"&amp;L55&amp;"*",'V2'!B$300:B$400,0)),"  ")</f>
        <v>2</v>
      </c>
      <c r="AB55" s="202" t="str">
        <f>IFERROR(INDEX('V3'!C$300:C$400,MATCH("*"&amp;L55&amp;"*",'V3'!B$300:B$400,0)),"  ")</f>
        <v>  </v>
      </c>
      <c r="AC55" s="202" t="str">
        <f>IFERROR(INDEX('V4'!C$300:C$400,MATCH("*"&amp;L55&amp;"*",'V4'!B$300:B$400,0)),"  ")</f>
        <v>  </v>
      </c>
      <c r="AD55" s="202" t="str">
        <f>IFERROR(INDEX('V5'!C$300:C$400,MATCH("*"&amp;L55&amp;"*",'V5'!B$300:B$400,0)),"  ")</f>
        <v>  </v>
      </c>
      <c r="AE55" s="202" t="str">
        <f>IFERROR(INDEX('V6'!C$300:C$400,MATCH("*"&amp;L55&amp;"*",'V6'!B$300:B$400,0)),"  ")</f>
        <v>  </v>
      </c>
      <c r="AF55" s="202" t="str">
        <f>IFERROR(INDEX('V7'!C$300:C$400,MATCH("*"&amp;L55&amp;"*",'V7'!B$300:B$400,0)),"  ")</f>
        <v>  </v>
      </c>
      <c r="AG55" s="202" t="str">
        <f>IFERROR(INDEX('V8'!C$300:C$400,MATCH("*"&amp;L55&amp;"*",'V8'!B$300:B$400,0)),"  ")</f>
        <v>  </v>
      </c>
      <c r="AH55" s="202"/>
      <c r="AI55" s="202"/>
      <c r="AJ55" s="222" t="str">
        <f>IF(AN55&gt;(AT$2-1),K55,"")</f>
        <v/>
      </c>
      <c r="AK55" s="223">
        <f>SUM(Z55:AI55)</f>
        <v>2</v>
      </c>
      <c r="AL55" s="224">
        <f>IFERROR("edasi "&amp;RANK(AJ55,AJ$7:AJ$126,1),K55)</f>
        <v>48</v>
      </c>
      <c r="AM55" s="225" t="str">
        <f>IFERROR(INDEX(#REF!,MATCH("*"&amp;L55&amp;"*",#REF!,0)),"  ")</f>
        <v>  </v>
      </c>
      <c r="AN55" s="226">
        <f>COUNTIF(Z55:AI55,"&gt;=0")</f>
        <v>1</v>
      </c>
      <c r="AO55" s="126">
        <f>IFERROR(IF(Z55+1&gt;LARGE(Z$7:Z$126,1)-2*LEN(Z$5),1),0)+IFERROR(IF(AA55+1&gt;LARGE(AA$7:AA$126,1)-2*LEN(AA$5),1),0)+IFERROR(IF(AB55+1&gt;LARGE(AB$7:AB$126,1)-2*LEN(AB$5),1),0)+IFERROR(IF(AC55+1&gt;LARGE(AC$7:AC$126,1)-2*LEN(AC$5),1),0)+IFERROR(IF(AD55+1&gt;LARGE(AD$7:AD$126,1)-2*LEN(AD$5),1),0)+IFERROR(IF(AE55+1&gt;LARGE(AE$7:AE$126,1)-2*LEN(AE$5),1),0)+IFERROR(IF(AF55+1&gt;LARGE(AF$7:AF$126,1)-2*LEN(AF$5),1),0)+IFERROR(IF(AG55+1&gt;LARGE(AG$7:AG$126,1)-2*LEN(AG$5),1),0)+IFERROR(IF(AH55+1&gt;LARGE(AH$7:AH$126,1)-2*LEN(AH$5),1),0)+IFERROR(IF(AI55+1&gt;LARGE(AI$7:AI$126,1)-2*LEN(AI$5),1),0)</f>
        <v>0</v>
      </c>
      <c r="AP55" s="126">
        <f>IF(Z55=0,0,IF(Z55=IFERROR(LARGE(Z$7:Z$126,1),0),1,0))+IF(AA55=0,0,IF(AA55=IFERROR(LARGE(AA$7:AA$126,1),0),1,0))+IF(AB55=0,0,IF(AB55=IFERROR(LARGE(AB$7:AB$126,1),0),1,0))+IF(AC55=0,0,IF(AC55=IFERROR(LARGE(AC$7:AC$126,1),0),1,0))+IF(AD55=0,0,IF(AD55=IFERROR(LARGE(AD$7:AD$126,1),0),1,0))+IF(AE55=0,0,IF(AE55=IFERROR(LARGE(AE$7:AE$126,1),0),1,0))+IF(AF55=0,0,IF(AF55=IFERROR(LARGE(AF$7:AF$126,1),0),1,0))+IF(AG55=0,0,IF(AG55=IFERROR(LARGE(AG$7:AG$126,1),0),1,0))+IF(AH55=0,0,IF(AH55=IFERROR(LARGE(AH$7:AH$126,1),0),1,0))+IF(AI55=0,0,IF(AI55=IFERROR(LARGE(AI$7:AI$126,1),0),1,0))</f>
        <v>0</v>
      </c>
      <c r="AQ55" s="233"/>
      <c r="AR55" s="233"/>
      <c r="AS55" s="233"/>
      <c r="AT55" s="234">
        <f>SMALL(AU55:BD55,AT$3)</f>
        <v>0.0001</v>
      </c>
      <c r="AU55" s="235">
        <f>IF(Z55="  ",0+MID(Z$6,FIND("V",Z$6)+1,256)/10000,Z55+MID(Z$6,FIND("V",Z$6)+1,256)/10000)</f>
        <v>0.0001</v>
      </c>
      <c r="AV55" s="235">
        <f>IF(AA55="  ",0+MID(AA$6,FIND("V",AA$6)+1,256)/10000,AA55+MID(AA$6,FIND("V",AA$6)+1,256)/10000)</f>
        <v>2.0002</v>
      </c>
      <c r="AW55" s="235">
        <f>IF(AB55="  ",0+MID(AB$6,FIND("V",AB$6)+1,256)/10000,AB55+MID(AB$6,FIND("V",AB$6)+1,256)/10000)</f>
        <v>0.0003</v>
      </c>
      <c r="AX55" s="235">
        <f>IF(AC55="  ",0+MID(AC$6,FIND("V",AC$6)+1,256)/10000,AC55+MID(AC$6,FIND("V",AC$6)+1,256)/10000)</f>
        <v>0.0004</v>
      </c>
      <c r="AY55" s="235">
        <f>IF(AD55="  ",0+MID(AD$6,FIND("V",AD$6)+1,256)/10000,AD55+MID(AD$6,FIND("V",AD$6)+1,256)/10000)</f>
        <v>0.0005</v>
      </c>
      <c r="AZ55" s="235">
        <f>IF(AE55="  ",0+MID(AE$6,FIND("V",AE$6)+1,256)/10000,AE55+MID(AE$6,FIND("V",AE$6)+1,256)/10000)</f>
        <v>0.0006</v>
      </c>
      <c r="BA55" s="235">
        <f>IF(AF55="  ",0+MID(AF$6,FIND("V",AF$6)+1,256)/10000,AF55+MID(AF$6,FIND("V",AF$6)+1,256)/10000)</f>
        <v>0.0007</v>
      </c>
      <c r="BB55" s="235">
        <f>IF(AG55="  ",0+MID(AG$6,FIND("V",AG$6)+1,256)/10000,AG55+MID(AG$6,FIND("V",AG$6)+1,256)/10000)</f>
        <v>0.0008</v>
      </c>
      <c r="BC55" s="235">
        <f>IF(AH55="  ",0+MID(AH$6,FIND("V",AH$6)+1,256)/10000,AH55+MID(AH$6,FIND("V",AH$6)+1,256)/10000)</f>
        <v>0.0009</v>
      </c>
      <c r="BD55" s="235">
        <f>IF(AI55="  ",0+MID(AI$6,FIND("V",AI$6)+1,256)/10000,AI55+MID(AI$6,FIND("V",AI$6)+1,256)/10000)</f>
        <v>0.001</v>
      </c>
      <c r="BE55" s="233"/>
      <c r="BF55" s="233"/>
      <c r="BG55" s="233"/>
      <c r="BH55" s="233"/>
      <c r="BI55" s="3" t="e">
        <f>(LARGE(Z$7:Z$126,1)-Z55)/2+1</f>
        <v>#VALUE!</v>
      </c>
      <c r="BJ55" s="3">
        <f>(LARGE(AA$7:AA$126,1)-AA55)/2+1</f>
        <v>14</v>
      </c>
      <c r="BK55" s="3" t="e">
        <f>(LARGE(AB$7:AB$126,1)-AB55)/2+1</f>
        <v>#VALUE!</v>
      </c>
      <c r="BL55" s="3" t="e">
        <f>(LARGE(AC$7:AC$126,1)-AC55)/2+1</f>
        <v>#VALUE!</v>
      </c>
      <c r="BM55" s="3" t="e">
        <f>(LARGE(AD$7:AD$126,1)-AD55)/2+1</f>
        <v>#VALUE!</v>
      </c>
      <c r="BN55" s="3" t="e">
        <f>(LARGE(AE$7:AE$126,1)-AE55)/2+1</f>
        <v>#VALUE!</v>
      </c>
      <c r="BO55" s="3" t="e">
        <f>(LARGE(AF$7:AF$126,1)-AF55)/2+1</f>
        <v>#VALUE!</v>
      </c>
      <c r="BP55" s="3" t="e">
        <f>(LARGE(AG$7:AG$126,1)-AG55)/2+1</f>
        <v>#VALUE!</v>
      </c>
      <c r="BQ55" s="3" t="e">
        <f>(LARGE(AH$7:AH$126,1)-AH55)/2+1</f>
        <v>#NUM!</v>
      </c>
      <c r="BR55" s="3" t="e">
        <f>(LARGE(AI$7:AI$126,1)-AI55)/2+1</f>
        <v>#NUM!</v>
      </c>
    </row>
    <row r="56" ht="12.75" customHeight="1" spans="1:70">
      <c r="A56" s="139" t="str">
        <f>IF(R56&gt;0,IF(Q56="Viru SK",RANK(B56,B$7:B$126,1)-COUNTIF((Q$7:Q$126),"&lt;&gt;Viru SK"),""),"")</f>
        <v/>
      </c>
      <c r="B56" s="140">
        <f>IF((Q56="Viru SK"),U56,U56-1000)</f>
        <v>-948</v>
      </c>
      <c r="C56" s="141">
        <f>IF(R56&gt;0,IF(P56="t",RANK(D56,D$7:D$126,1)-COUNTBLANK(P$7:P$126),""),"")</f>
        <v>23</v>
      </c>
      <c r="D56" s="142">
        <f>IF((P56="t"),U56,U56-1000)</f>
        <v>52</v>
      </c>
      <c r="E56" s="143" t="str">
        <f>IF(R56&gt;0,IF(N56="m",RANK(F56,F$7:F$126,1)-COUNTBLANK(N$7:N$126),""),"")</f>
        <v/>
      </c>
      <c r="F56" s="144">
        <f>IF((N56="m"),U56,U56-1000)</f>
        <v>-948</v>
      </c>
      <c r="G56" s="145">
        <f>IF(R56&gt;0,IF(M56="n",RANK(H56,H$7:H$126,1)-COUNTBLANK(M$7:M$126),""),"")</f>
        <v>11</v>
      </c>
      <c r="H56" s="144">
        <f>IF((M56="n"),U56,U56-1000)</f>
        <v>52</v>
      </c>
      <c r="I56" s="160" t="str">
        <f>IF(R56&gt;0,IF(O56="j",RANK(J56,J$7:J$126,1)-COUNTBLANK(O$7:O$126),""),"")</f>
        <v/>
      </c>
      <c r="J56" s="161">
        <f>IF((O56="j"),U56,U56-1000)</f>
        <v>-948</v>
      </c>
      <c r="K56" s="162">
        <f>IF(R56&gt;0,RANK(U56,U$7:U$126,1),"")</f>
        <v>50</v>
      </c>
      <c r="L56" s="163" t="s">
        <v>245</v>
      </c>
      <c r="M56" s="164" t="s">
        <v>203</v>
      </c>
      <c r="N56" s="165"/>
      <c r="O56" s="166"/>
      <c r="P56" s="167" t="s">
        <v>196</v>
      </c>
      <c r="Q56" s="192"/>
      <c r="R56" s="154">
        <f>(IF(COUNT(Z56,AA56,AB56,AC56,AD56,AE56,AF56,AG56,AH56,AI56)&lt;10,SUM(Z56,AA56,AB56,AC56,AD56,AE56,AF56,AG56,AH56,AI56),SUM(LARGE((Z56,AA56,AB56,AC56,AD56,AE56,AF56,AG56,AH56,AI56),{1;2;3;4;5;6;7;8;9}))))</f>
        <v>2</v>
      </c>
      <c r="S56" s="193" t="str">
        <f>INDEX(ETAPP!B$1:B$32,MATCH(COUNTIF(BI56:BR56,1),ETAPP!A$1:A$32,0))&amp;INDEX(ETAPP!B$1:B$32,MATCH(COUNTIF(BI56:BR56,2),ETAPP!A$1:A$32,0))&amp;INDEX(ETAPP!B$1:B$32,MATCH(COUNTIF(BI56:BR56,3),ETAPP!A$1:A$32,0))&amp;INDEX(ETAPP!B$1:B$32,MATCH(COUNTIF(BI56:BR56,4),ETAPP!A$1:A$32,0))&amp;INDEX(ETAPP!B$1:B$32,MATCH(COUNTIF(BI56:BR56,5),ETAPP!A$1:A$32,0))&amp;INDEX(ETAPP!B$1:B$32,MATCH(COUNTIF(BI56:BR56,6),ETAPP!A$1:A$32,0))&amp;INDEX(ETAPP!B$1:B$32,MATCH(COUNTIF(BI56:BR56,7),ETAPP!A$1:A$32,0))&amp;INDEX(ETAPP!B$1:B$32,MATCH(COUNTIF(BI56:BR56,8),ETAPP!A$1:A$32,0))&amp;INDEX(ETAPP!B$1:B$32,MATCH(COUNTIF(BI56:BR56,9),ETAPP!A$1:A$32,0))&amp;INDEX(ETAPP!B$1:B$32,MATCH(COUNTIF(BI56:BR56,10),ETAPP!A$1:A$32,0))&amp;INDEX(ETAPP!B$1:B$32,MATCH(COUNTIF(BI56:BR56,11),ETAPP!A$1:A$32,0))&amp;INDEX(ETAPP!B$1:B$32,MATCH(COUNTIF(BI56:BR56,12),ETAPP!A$1:A$32,0))&amp;INDEX(ETAPP!B$1:B$32,MATCH(COUNTIF(BI56:BR56,13),ETAPP!A$1:A$32,0))&amp;INDEX(ETAPP!B$1:B$32,MATCH(COUNTIF(BI56:BR56,14),ETAPP!A$1:A$32,0))&amp;INDEX(ETAPP!B$1:B$32,MATCH(COUNTIF(BI56:BR56,15),ETAPP!A$1:A$32,0))&amp;INDEX(ETAPP!B$1:B$32,MATCH(COUNTIF(BI56:BR56,16),ETAPP!A$1:A$32,0))&amp;INDEX(ETAPP!B$1:B$32,MATCH(COUNTIF(BI56:BR56,17),ETAPP!A$1:A$32,0))&amp;INDEX(ETAPP!B$1:B$32,MATCH(COUNTIF(BI56:BR56,18),ETAPP!A$1:A$32,0))&amp;INDEX(ETAPP!B$1:B$32,MATCH(COUNTIF(BI56:BR56,19),ETAPP!A$1:A$32,0))&amp;INDEX(ETAPP!B$1:B$32,MATCH(COUNTIF(BI56:BR56,20),ETAPP!A$1:A$32,0))&amp;INDEX(ETAPP!B$1:B$32,MATCH(COUNTIF(BI56:BR56,21),ETAPP!A$1:A$32,0))</f>
        <v>0000000000000000000A0</v>
      </c>
      <c r="T56" s="193" t="str">
        <f>TEXT(R56,"000,0")&amp;"-"&amp;S56</f>
        <v>002,0-0000000000000000000A0</v>
      </c>
      <c r="U56" s="193">
        <f>COUNTIF(T$7:T$126,"&gt;="&amp;T56)</f>
        <v>52</v>
      </c>
      <c r="V56" s="193">
        <f>COUNTIF(L$7:L$126,"&gt;="&amp;L56)</f>
        <v>67</v>
      </c>
      <c r="W56" s="193" t="str">
        <f>TEXT(R56,"000,0")&amp;"-"&amp;S56&amp;"-"&amp;TEXT(V56,"000")</f>
        <v>002,0-0000000000000000000A0-067</v>
      </c>
      <c r="X56" s="193">
        <f>COUNTIF(W$7:W$126,"&gt;="&amp;W56)</f>
        <v>50</v>
      </c>
      <c r="Y56" s="201">
        <f>RANK(X56,X$7:X$126,0)</f>
        <v>71</v>
      </c>
      <c r="Z56" s="202" t="str">
        <f>IFERROR(INDEX('V1'!C$300:C$400,MATCH("*"&amp;L56&amp;"*",'V1'!B$300:B$400,0)),"  ")</f>
        <v>  </v>
      </c>
      <c r="AA56" s="202" t="str">
        <f>IFERROR(INDEX('V2'!C$300:C$400,MATCH("*"&amp;L56&amp;"*",'V2'!B$300:B$400,0)),"  ")</f>
        <v>  </v>
      </c>
      <c r="AB56" s="202" t="str">
        <f>IFERROR(INDEX('V3'!C$300:C$400,MATCH("*"&amp;L56&amp;"*",'V3'!B$300:B$400,0)),"  ")</f>
        <v>  </v>
      </c>
      <c r="AC56" s="202" t="str">
        <f>IFERROR(INDEX('V4'!C$300:C$400,MATCH("*"&amp;L56&amp;"*",'V4'!B$300:B$400,0)),"  ")</f>
        <v>  </v>
      </c>
      <c r="AD56" s="202">
        <f>IFERROR(INDEX('V5'!C$300:C$400,MATCH("*"&amp;L56&amp;"*",'V5'!B$300:B$400,0)),"  ")</f>
        <v>2</v>
      </c>
      <c r="AE56" s="202" t="str">
        <f>IFERROR(INDEX('V6'!C$300:C$400,MATCH("*"&amp;L56&amp;"*",'V6'!B$300:B$400,0)),"  ")</f>
        <v>  </v>
      </c>
      <c r="AF56" s="202" t="str">
        <f>IFERROR(INDEX('V7'!C$300:C$400,MATCH("*"&amp;L56&amp;"*",'V7'!B$300:B$400,0)),"  ")</f>
        <v>  </v>
      </c>
      <c r="AG56" s="202" t="str">
        <f>IFERROR(INDEX('V8'!C$300:C$400,MATCH("*"&amp;L56&amp;"*",'V8'!B$300:B$400,0)),"  ")</f>
        <v>  </v>
      </c>
      <c r="AH56" s="202"/>
      <c r="AI56" s="202"/>
      <c r="AJ56" s="222" t="str">
        <f>IF(AN56&gt;(AT$2-1),K56,"")</f>
        <v/>
      </c>
      <c r="AK56" s="223">
        <f>SUM(Z56:AI56)</f>
        <v>2</v>
      </c>
      <c r="AL56" s="224">
        <f>IFERROR("edasi "&amp;RANK(AJ56,AJ$7:AJ$126,1),K56)</f>
        <v>50</v>
      </c>
      <c r="AM56" s="225" t="str">
        <f>IFERROR(INDEX(#REF!,MATCH("*"&amp;L56&amp;"*",#REF!,0)),"  ")</f>
        <v>  </v>
      </c>
      <c r="AN56" s="226">
        <f>COUNTIF(Z56:AI56,"&gt;=0")</f>
        <v>1</v>
      </c>
      <c r="AO56" s="126">
        <f>IFERROR(IF(Z56+1&gt;LARGE(Z$7:Z$126,1)-2*LEN(Z$5),1),0)+IFERROR(IF(AA56+1&gt;LARGE(AA$7:AA$126,1)-2*LEN(AA$5),1),0)+IFERROR(IF(AB56+1&gt;LARGE(AB$7:AB$126,1)-2*LEN(AB$5),1),0)+IFERROR(IF(AC56+1&gt;LARGE(AC$7:AC$126,1)-2*LEN(AC$5),1),0)+IFERROR(IF(AD56+1&gt;LARGE(AD$7:AD$126,1)-2*LEN(AD$5),1),0)+IFERROR(IF(AE56+1&gt;LARGE(AE$7:AE$126,1)-2*LEN(AE$5),1),0)+IFERROR(IF(AF56+1&gt;LARGE(AF$7:AF$126,1)-2*LEN(AF$5),1),0)+IFERROR(IF(AG56+1&gt;LARGE(AG$7:AG$126,1)-2*LEN(AG$5),1),0)+IFERROR(IF(AH56+1&gt;LARGE(AH$7:AH$126,1)-2*LEN(AH$5),1),0)+IFERROR(IF(AI56+1&gt;LARGE(AI$7:AI$126,1)-2*LEN(AI$5),1),0)</f>
        <v>0</v>
      </c>
      <c r="AP56" s="126">
        <f>IF(Z56=0,0,IF(Z56=IFERROR(LARGE(Z$7:Z$126,1),0),1,0))+IF(AA56=0,0,IF(AA56=IFERROR(LARGE(AA$7:AA$126,1),0),1,0))+IF(AB56=0,0,IF(AB56=IFERROR(LARGE(AB$7:AB$126,1),0),1,0))+IF(AC56=0,0,IF(AC56=IFERROR(LARGE(AC$7:AC$126,1),0),1,0))+IF(AD56=0,0,IF(AD56=IFERROR(LARGE(AD$7:AD$126,1),0),1,0))+IF(AE56=0,0,IF(AE56=IFERROR(LARGE(AE$7:AE$126,1),0),1,0))+IF(AF56=0,0,IF(AF56=IFERROR(LARGE(AF$7:AF$126,1),0),1,0))+IF(AG56=0,0,IF(AG56=IFERROR(LARGE(AG$7:AG$126,1),0),1,0))+IF(AH56=0,0,IF(AH56=IFERROR(LARGE(AH$7:AH$126,1),0),1,0))+IF(AI56=0,0,IF(AI56=IFERROR(LARGE(AI$7:AI$126,1),0),1,0))</f>
        <v>0</v>
      </c>
      <c r="AQ56" s="233"/>
      <c r="AR56" s="233"/>
      <c r="AS56" s="233"/>
      <c r="AT56" s="234">
        <f>SMALL(AU56:BD56,AT$3)</f>
        <v>0.0001</v>
      </c>
      <c r="AU56" s="235">
        <f>IF(Z56="  ",0+MID(Z$6,FIND("V",Z$6)+1,256)/10000,Z56+MID(Z$6,FIND("V",Z$6)+1,256)/10000)</f>
        <v>0.0001</v>
      </c>
      <c r="AV56" s="235">
        <f>IF(AA56="  ",0+MID(AA$6,FIND("V",AA$6)+1,256)/10000,AA56+MID(AA$6,FIND("V",AA$6)+1,256)/10000)</f>
        <v>0.0002</v>
      </c>
      <c r="AW56" s="235">
        <f>IF(AB56="  ",0+MID(AB$6,FIND("V",AB$6)+1,256)/10000,AB56+MID(AB$6,FIND("V",AB$6)+1,256)/10000)</f>
        <v>0.0003</v>
      </c>
      <c r="AX56" s="235">
        <f>IF(AC56="  ",0+MID(AC$6,FIND("V",AC$6)+1,256)/10000,AC56+MID(AC$6,FIND("V",AC$6)+1,256)/10000)</f>
        <v>0.0004</v>
      </c>
      <c r="AY56" s="235">
        <f>IF(AD56="  ",0+MID(AD$6,FIND("V",AD$6)+1,256)/10000,AD56+MID(AD$6,FIND("V",AD$6)+1,256)/10000)</f>
        <v>2.0005</v>
      </c>
      <c r="AZ56" s="235">
        <f>IF(AE56="  ",0+MID(AE$6,FIND("V",AE$6)+1,256)/10000,AE56+MID(AE$6,FIND("V",AE$6)+1,256)/10000)</f>
        <v>0.0006</v>
      </c>
      <c r="BA56" s="235">
        <f>IF(AF56="  ",0+MID(AF$6,FIND("V",AF$6)+1,256)/10000,AF56+MID(AF$6,FIND("V",AF$6)+1,256)/10000)</f>
        <v>0.0007</v>
      </c>
      <c r="BB56" s="235">
        <f>IF(AG56="  ",0+MID(AG$6,FIND("V",AG$6)+1,256)/10000,AG56+MID(AG$6,FIND("V",AG$6)+1,256)/10000)</f>
        <v>0.0008</v>
      </c>
      <c r="BC56" s="235">
        <f>IF(AH56="  ",0+MID(AH$6,FIND("V",AH$6)+1,256)/10000,AH56+MID(AH$6,FIND("V",AH$6)+1,256)/10000)</f>
        <v>0.0009</v>
      </c>
      <c r="BD56" s="235">
        <f>IF(AI56="  ",0+MID(AI$6,FIND("V",AI$6)+1,256)/10000,AI56+MID(AI$6,FIND("V",AI$6)+1,256)/10000)</f>
        <v>0.001</v>
      </c>
      <c r="BE56" s="233"/>
      <c r="BF56" s="233"/>
      <c r="BG56" s="233"/>
      <c r="BH56" s="233"/>
      <c r="BI56" s="3" t="e">
        <f>(LARGE(Z$7:Z$126,1)-Z56)/2+1</f>
        <v>#VALUE!</v>
      </c>
      <c r="BJ56" s="3" t="e">
        <f>(LARGE(AA$7:AA$126,1)-AA56)/2+1</f>
        <v>#VALUE!</v>
      </c>
      <c r="BK56" s="3" t="e">
        <f>(LARGE(AB$7:AB$126,1)-AB56)/2+1</f>
        <v>#VALUE!</v>
      </c>
      <c r="BL56" s="3" t="e">
        <f>(LARGE(AC$7:AC$126,1)-AC56)/2+1</f>
        <v>#VALUE!</v>
      </c>
      <c r="BM56" s="3">
        <f>(LARGE(AD$7:AD$126,1)-AD56)/2+1</f>
        <v>20</v>
      </c>
      <c r="BN56" s="3" t="e">
        <f>(LARGE(AE$7:AE$126,1)-AE56)/2+1</f>
        <v>#VALUE!</v>
      </c>
      <c r="BO56" s="3" t="e">
        <f>(LARGE(AF$7:AF$126,1)-AF56)/2+1</f>
        <v>#VALUE!</v>
      </c>
      <c r="BP56" s="3" t="e">
        <f>(LARGE(AG$7:AG$126,1)-AG56)/2+1</f>
        <v>#VALUE!</v>
      </c>
      <c r="BQ56" s="3" t="e">
        <f>(LARGE(AH$7:AH$126,1)-AH56)/2+1</f>
        <v>#NUM!</v>
      </c>
      <c r="BR56" s="3" t="e">
        <f>(LARGE(AI$7:AI$126,1)-AI56)/2+1</f>
        <v>#NUM!</v>
      </c>
    </row>
    <row r="57" ht="12.75" customHeight="1" spans="1:70">
      <c r="A57" s="139">
        <f>IF(R57&gt;0,IF(Q57="Viru SK",RANK(B57,B$7:B$126,1)-COUNTIF((Q$7:Q$126),"&lt;&gt;Viru SK"),""),"")</f>
        <v>34</v>
      </c>
      <c r="B57" s="140">
        <f>IF((Q57="Viru SK"),U57,U57-1000)</f>
        <v>52</v>
      </c>
      <c r="C57" s="141">
        <f>IF(R57&gt;0,IF(P57="t",RANK(D57,D$7:D$126,1)-COUNTBLANK(P$7:P$126),""),"")</f>
        <v>23</v>
      </c>
      <c r="D57" s="142">
        <f>IF((P57="t"),U57,U57-1000)</f>
        <v>52</v>
      </c>
      <c r="E57" s="143" t="str">
        <f>IF(R57&gt;0,IF(N57="m",RANK(F57,F$7:F$126,1)-COUNTBLANK(N$7:N$126),""),"")</f>
        <v/>
      </c>
      <c r="F57" s="144">
        <f>IF((N57="m"),U57,U57-1000)</f>
        <v>-948</v>
      </c>
      <c r="G57" s="145">
        <f>IF(R57&gt;0,IF(M57="n",RANK(H57,H$7:H$126,1)-COUNTBLANK(M$7:M$126),""),"")</f>
        <v>11</v>
      </c>
      <c r="H57" s="144">
        <f>IF((M57="n"),U57,U57-1000)</f>
        <v>52</v>
      </c>
      <c r="I57" s="160" t="str">
        <f>IF(R57&gt;0,IF(O57="j",RANK(J57,J$7:J$126,1)-COUNTBLANK(O$7:O$126),""),"")</f>
        <v/>
      </c>
      <c r="J57" s="161">
        <f>IF((O57="j"),U57,U57-1000)</f>
        <v>-948</v>
      </c>
      <c r="K57" s="162">
        <f>IF(R57&gt;0,RANK(U57,U$7:U$126,1),"")</f>
        <v>50</v>
      </c>
      <c r="L57" s="163" t="s">
        <v>246</v>
      </c>
      <c r="M57" s="164" t="s">
        <v>203</v>
      </c>
      <c r="N57" s="165" t="str">
        <f>IF(M57="","m","")</f>
        <v/>
      </c>
      <c r="O57" s="166"/>
      <c r="P57" s="167" t="s">
        <v>196</v>
      </c>
      <c r="Q57" s="192" t="s">
        <v>171</v>
      </c>
      <c r="R57" s="154">
        <f>(IF(COUNT(Z57,AA57,AB57,AC57,AD57,AE57,AF57,AG57,AH57,AI57)&lt;10,SUM(Z57,AA57,AB57,AC57,AD57,AE57,AF57,AG57,AH57,AI57),SUM(LARGE((Z57,AA57,AB57,AC57,AD57,AE57,AF57,AG57,AH57,AI57),{1;2;3;4;5;6;7;8;9}))))</f>
        <v>2</v>
      </c>
      <c r="S57" s="193" t="str">
        <f>INDEX(ETAPP!B$1:B$32,MATCH(COUNTIF(BI57:BR57,1),ETAPP!A$1:A$32,0))&amp;INDEX(ETAPP!B$1:B$32,MATCH(COUNTIF(BI57:BR57,2),ETAPP!A$1:A$32,0))&amp;INDEX(ETAPP!B$1:B$32,MATCH(COUNTIF(BI57:BR57,3),ETAPP!A$1:A$32,0))&amp;INDEX(ETAPP!B$1:B$32,MATCH(COUNTIF(BI57:BR57,4),ETAPP!A$1:A$32,0))&amp;INDEX(ETAPP!B$1:B$32,MATCH(COUNTIF(BI57:BR57,5),ETAPP!A$1:A$32,0))&amp;INDEX(ETAPP!B$1:B$32,MATCH(COUNTIF(BI57:BR57,6),ETAPP!A$1:A$32,0))&amp;INDEX(ETAPP!B$1:B$32,MATCH(COUNTIF(BI57:BR57,7),ETAPP!A$1:A$32,0))&amp;INDEX(ETAPP!B$1:B$32,MATCH(COUNTIF(BI57:BR57,8),ETAPP!A$1:A$32,0))&amp;INDEX(ETAPP!B$1:B$32,MATCH(COUNTIF(BI57:BR57,9),ETAPP!A$1:A$32,0))&amp;INDEX(ETAPP!B$1:B$32,MATCH(COUNTIF(BI57:BR57,10),ETAPP!A$1:A$32,0))&amp;INDEX(ETAPP!B$1:B$32,MATCH(COUNTIF(BI57:BR57,11),ETAPP!A$1:A$32,0))&amp;INDEX(ETAPP!B$1:B$32,MATCH(COUNTIF(BI57:BR57,12),ETAPP!A$1:A$32,0))&amp;INDEX(ETAPP!B$1:B$32,MATCH(COUNTIF(BI57:BR57,13),ETAPP!A$1:A$32,0))&amp;INDEX(ETAPP!B$1:B$32,MATCH(COUNTIF(BI57:BR57,14),ETAPP!A$1:A$32,0))&amp;INDEX(ETAPP!B$1:B$32,MATCH(COUNTIF(BI57:BR57,15),ETAPP!A$1:A$32,0))&amp;INDEX(ETAPP!B$1:B$32,MATCH(COUNTIF(BI57:BR57,16),ETAPP!A$1:A$32,0))&amp;INDEX(ETAPP!B$1:B$32,MATCH(COUNTIF(BI57:BR57,17),ETAPP!A$1:A$32,0))&amp;INDEX(ETAPP!B$1:B$32,MATCH(COUNTIF(BI57:BR57,18),ETAPP!A$1:A$32,0))&amp;INDEX(ETAPP!B$1:B$32,MATCH(COUNTIF(BI57:BR57,19),ETAPP!A$1:A$32,0))&amp;INDEX(ETAPP!B$1:B$32,MATCH(COUNTIF(BI57:BR57,20),ETAPP!A$1:A$32,0))&amp;INDEX(ETAPP!B$1:B$32,MATCH(COUNTIF(BI57:BR57,21),ETAPP!A$1:A$32,0))</f>
        <v>0000000000000000000A0</v>
      </c>
      <c r="T57" s="193" t="str">
        <f>TEXT(R57,"000,0")&amp;"-"&amp;S57</f>
        <v>002,0-0000000000000000000A0</v>
      </c>
      <c r="U57" s="193">
        <f>COUNTIF(T$7:T$126,"&gt;="&amp;T57)</f>
        <v>52</v>
      </c>
      <c r="V57" s="193">
        <f>COUNTIF(L$7:L$126,"&gt;="&amp;L57)</f>
        <v>65</v>
      </c>
      <c r="W57" s="193" t="str">
        <f>TEXT(R57,"000,0")&amp;"-"&amp;S57&amp;"-"&amp;TEXT(V57,"000")</f>
        <v>002,0-0000000000000000000A0-065</v>
      </c>
      <c r="X57" s="193">
        <f>COUNTIF(W$7:W$126,"&gt;="&amp;W57)</f>
        <v>51</v>
      </c>
      <c r="Y57" s="201">
        <f>RANK(X57,X$7:X$126,0)</f>
        <v>70</v>
      </c>
      <c r="Z57" s="202" t="str">
        <f>IFERROR(INDEX('V1'!C$300:C$400,MATCH("*"&amp;L57&amp;"*",'V1'!B$300:B$400,0)),"  ")</f>
        <v>  </v>
      </c>
      <c r="AA57" s="202" t="str">
        <f>IFERROR(INDEX('V2'!C$300:C$400,MATCH("*"&amp;L57&amp;"*",'V2'!B$300:B$400,0)),"  ")</f>
        <v>  </v>
      </c>
      <c r="AB57" s="202" t="str">
        <f>IFERROR(INDEX('V3'!C$300:C$400,MATCH("*"&amp;L57&amp;"*",'V3'!B$300:B$400,0)),"  ")</f>
        <v>  </v>
      </c>
      <c r="AC57" s="202" t="str">
        <f>IFERROR(INDEX('V4'!C$300:C$400,MATCH("*"&amp;L57&amp;"*",'V4'!B$300:B$400,0)),"  ")</f>
        <v>  </v>
      </c>
      <c r="AD57" s="202">
        <f>IFERROR(INDEX('V5'!C$300:C$400,MATCH("*"&amp;L57&amp;"*",'V5'!B$300:B$400,0)),"  ")</f>
        <v>2</v>
      </c>
      <c r="AE57" s="202" t="str">
        <f>IFERROR(INDEX('V6'!C$300:C$400,MATCH("*"&amp;L57&amp;"*",'V6'!B$300:B$400,0)),"  ")</f>
        <v>  </v>
      </c>
      <c r="AF57" s="202" t="str">
        <f>IFERROR(INDEX('V7'!C$300:C$400,MATCH("*"&amp;L57&amp;"*",'V7'!B$300:B$400,0)),"  ")</f>
        <v>  </v>
      </c>
      <c r="AG57" s="202" t="str">
        <f>IFERROR(INDEX('V8'!C$300:C$400,MATCH("*"&amp;L57&amp;"*",'V8'!B$300:B$400,0)),"  ")</f>
        <v>  </v>
      </c>
      <c r="AH57" s="202"/>
      <c r="AI57" s="202"/>
      <c r="AJ57" s="222" t="str">
        <f>IF(AN57&gt;(AT$2-1),K57,"")</f>
        <v/>
      </c>
      <c r="AK57" s="223">
        <f>SUM(Z57:AI57)</f>
        <v>2</v>
      </c>
      <c r="AL57" s="224">
        <f>IFERROR("edasi "&amp;RANK(AJ57,AJ$7:AJ$126,1),K57)</f>
        <v>50</v>
      </c>
      <c r="AM57" s="225" t="str">
        <f>IFERROR(INDEX(#REF!,MATCH("*"&amp;L57&amp;"*",#REF!,0)),"  ")</f>
        <v>  </v>
      </c>
      <c r="AN57" s="226">
        <f>COUNTIF(Z57:AI57,"&gt;=0")</f>
        <v>1</v>
      </c>
      <c r="AO57" s="126">
        <f>IFERROR(IF(Z57+1&gt;LARGE(Z$7:Z$126,1)-2*LEN(Z$5),1),0)+IFERROR(IF(AA57+1&gt;LARGE(AA$7:AA$126,1)-2*LEN(AA$5),1),0)+IFERROR(IF(AB57+1&gt;LARGE(AB$7:AB$126,1)-2*LEN(AB$5),1),0)+IFERROR(IF(AC57+1&gt;LARGE(AC$7:AC$126,1)-2*LEN(AC$5),1),0)+IFERROR(IF(AD57+1&gt;LARGE(AD$7:AD$126,1)-2*LEN(AD$5),1),0)+IFERROR(IF(AE57+1&gt;LARGE(AE$7:AE$126,1)-2*LEN(AE$5),1),0)+IFERROR(IF(AF57+1&gt;LARGE(AF$7:AF$126,1)-2*LEN(AF$5),1),0)+IFERROR(IF(AG57+1&gt;LARGE(AG$7:AG$126,1)-2*LEN(AG$5),1),0)+IFERROR(IF(AH57+1&gt;LARGE(AH$7:AH$126,1)-2*LEN(AH$5),1),0)+IFERROR(IF(AI57+1&gt;LARGE(AI$7:AI$126,1)-2*LEN(AI$5),1),0)</f>
        <v>0</v>
      </c>
      <c r="AP57" s="126">
        <f>IF(Z57=0,0,IF(Z57=IFERROR(LARGE(Z$7:Z$126,1),0),1,0))+IF(AA57=0,0,IF(AA57=IFERROR(LARGE(AA$7:AA$126,1),0),1,0))+IF(AB57=0,0,IF(AB57=IFERROR(LARGE(AB$7:AB$126,1),0),1,0))+IF(AC57=0,0,IF(AC57=IFERROR(LARGE(AC$7:AC$126,1),0),1,0))+IF(AD57=0,0,IF(AD57=IFERROR(LARGE(AD$7:AD$126,1),0),1,0))+IF(AE57=0,0,IF(AE57=IFERROR(LARGE(AE$7:AE$126,1),0),1,0))+IF(AF57=0,0,IF(AF57=IFERROR(LARGE(AF$7:AF$126,1),0),1,0))+IF(AG57=0,0,IF(AG57=IFERROR(LARGE(AG$7:AG$126,1),0),1,0))+IF(AH57=0,0,IF(AH57=IFERROR(LARGE(AH$7:AH$126,1),0),1,0))+IF(AI57=0,0,IF(AI57=IFERROR(LARGE(AI$7:AI$126,1),0),1,0))</f>
        <v>0</v>
      </c>
      <c r="AQ57" s="233"/>
      <c r="AR57" s="233"/>
      <c r="AS57" s="233"/>
      <c r="AT57" s="234">
        <f>SMALL(AU57:BD57,AT$3)</f>
        <v>0.0001</v>
      </c>
      <c r="AU57" s="235">
        <f>IF(Z57="  ",0+MID(Z$6,FIND("V",Z$6)+1,256)/10000,Z57+MID(Z$6,FIND("V",Z$6)+1,256)/10000)</f>
        <v>0.0001</v>
      </c>
      <c r="AV57" s="235">
        <f>IF(AA57="  ",0+MID(AA$6,FIND("V",AA$6)+1,256)/10000,AA57+MID(AA$6,FIND("V",AA$6)+1,256)/10000)</f>
        <v>0.0002</v>
      </c>
      <c r="AW57" s="235">
        <f>IF(AB57="  ",0+MID(AB$6,FIND("V",AB$6)+1,256)/10000,AB57+MID(AB$6,FIND("V",AB$6)+1,256)/10000)</f>
        <v>0.0003</v>
      </c>
      <c r="AX57" s="235">
        <f>IF(AC57="  ",0+MID(AC$6,FIND("V",AC$6)+1,256)/10000,AC57+MID(AC$6,FIND("V",AC$6)+1,256)/10000)</f>
        <v>0.0004</v>
      </c>
      <c r="AY57" s="235">
        <f>IF(AD57="  ",0+MID(AD$6,FIND("V",AD$6)+1,256)/10000,AD57+MID(AD$6,FIND("V",AD$6)+1,256)/10000)</f>
        <v>2.0005</v>
      </c>
      <c r="AZ57" s="235">
        <f>IF(AE57="  ",0+MID(AE$6,FIND("V",AE$6)+1,256)/10000,AE57+MID(AE$6,FIND("V",AE$6)+1,256)/10000)</f>
        <v>0.0006</v>
      </c>
      <c r="BA57" s="235">
        <f>IF(AF57="  ",0+MID(AF$6,FIND("V",AF$6)+1,256)/10000,AF57+MID(AF$6,FIND("V",AF$6)+1,256)/10000)</f>
        <v>0.0007</v>
      </c>
      <c r="BB57" s="235">
        <f>IF(AG57="  ",0+MID(AG$6,FIND("V",AG$6)+1,256)/10000,AG57+MID(AG$6,FIND("V",AG$6)+1,256)/10000)</f>
        <v>0.0008</v>
      </c>
      <c r="BC57" s="235">
        <f>IF(AH57="  ",0+MID(AH$6,FIND("V",AH$6)+1,256)/10000,AH57+MID(AH$6,FIND("V",AH$6)+1,256)/10000)</f>
        <v>0.0009</v>
      </c>
      <c r="BD57" s="235">
        <f>IF(AI57="  ",0+MID(AI$6,FIND("V",AI$6)+1,256)/10000,AI57+MID(AI$6,FIND("V",AI$6)+1,256)/10000)</f>
        <v>0.001</v>
      </c>
      <c r="BE57" s="233"/>
      <c r="BF57" s="233"/>
      <c r="BG57" s="233"/>
      <c r="BH57" s="233"/>
      <c r="BI57" s="3" t="e">
        <f>(LARGE(Z$7:Z$126,1)-Z57)/2+1</f>
        <v>#VALUE!</v>
      </c>
      <c r="BJ57" s="3" t="e">
        <f>(LARGE(AA$7:AA$126,1)-AA57)/2+1</f>
        <v>#VALUE!</v>
      </c>
      <c r="BK57" s="3" t="e">
        <f>(LARGE(AB$7:AB$126,1)-AB57)/2+1</f>
        <v>#VALUE!</v>
      </c>
      <c r="BL57" s="3" t="e">
        <f>(LARGE(AC$7:AC$126,1)-AC57)/2+1</f>
        <v>#VALUE!</v>
      </c>
      <c r="BM57" s="3">
        <f>(LARGE(AD$7:AD$126,1)-AD57)/2+1</f>
        <v>20</v>
      </c>
      <c r="BN57" s="3" t="e">
        <f>(LARGE(AE$7:AE$126,1)-AE57)/2+1</f>
        <v>#VALUE!</v>
      </c>
      <c r="BO57" s="3" t="e">
        <f>(LARGE(AF$7:AF$126,1)-AF57)/2+1</f>
        <v>#VALUE!</v>
      </c>
      <c r="BP57" s="3" t="e">
        <f>(LARGE(AG$7:AG$126,1)-AG57)/2+1</f>
        <v>#VALUE!</v>
      </c>
      <c r="BQ57" s="3" t="e">
        <f>(LARGE(AH$7:AH$126,1)-AH57)/2+1</f>
        <v>#NUM!</v>
      </c>
      <c r="BR57" s="3" t="e">
        <f>(LARGE(AI$7:AI$126,1)-AI57)/2+1</f>
        <v>#NUM!</v>
      </c>
    </row>
    <row r="58" ht="12.75" customHeight="1" spans="1:70">
      <c r="A58" s="139" t="str">
        <f>IF(R58&gt;0,IF(Q58="Viru SK",RANK(B58,B$7:B$126,1)-COUNTIF((Q$7:Q$126),"&lt;&gt;Viru SK"),""),"")</f>
        <v/>
      </c>
      <c r="B58" s="140">
        <f>IF((Q58="Viru SK"),U58,U58-1000)</f>
        <v>-948</v>
      </c>
      <c r="C58" s="141">
        <f>IF(R58&gt;0,IF(P58="t",RANK(D58,D$7:D$126,1)-COUNTBLANK(P$7:P$126),""),"")</f>
        <v>23</v>
      </c>
      <c r="D58" s="142">
        <f>IF((P58="t"),U58,U58-1000)</f>
        <v>52</v>
      </c>
      <c r="E58" s="143" t="str">
        <f>IF(R58&gt;0,IF(N58="m",RANK(F58,F$7:F$126,1)-COUNTBLANK(N$7:N$126),""),"")</f>
        <v/>
      </c>
      <c r="F58" s="144">
        <f>IF((N58="m"),U58,U58-1000)</f>
        <v>-948</v>
      </c>
      <c r="G58" s="145">
        <f>IF(R58&gt;0,IF(M58="n",RANK(H58,H$7:H$126,1)-COUNTBLANK(M$7:M$126),""),"")</f>
        <v>11</v>
      </c>
      <c r="H58" s="144">
        <f>IF((M58="n"),U58,U58-1000)</f>
        <v>52</v>
      </c>
      <c r="I58" s="160" t="str">
        <f>IF(R58&gt;0,IF(O58="j",RANK(J58,J$7:J$126,1)-COUNTBLANK(O$7:O$126),""),"")</f>
        <v/>
      </c>
      <c r="J58" s="161">
        <f>IF((O58="j"),U58,U58-1000)</f>
        <v>-948</v>
      </c>
      <c r="K58" s="162">
        <f>IF(R58&gt;0,RANK(U58,U$7:U$126,1),"")</f>
        <v>50</v>
      </c>
      <c r="L58" s="163" t="s">
        <v>247</v>
      </c>
      <c r="M58" s="164" t="s">
        <v>203</v>
      </c>
      <c r="N58" s="165"/>
      <c r="O58" s="166"/>
      <c r="P58" s="167" t="s">
        <v>196</v>
      </c>
      <c r="Q58" s="192"/>
      <c r="R58" s="154">
        <f>(IF(COUNT(Z58,AA58,AB58,AC58,AD58,AE58,AF58,AG58,AH58,AI58)&lt;10,SUM(Z58,AA58,AB58,AC58,AD58,AE58,AF58,AG58,AH58,AI58),SUM(LARGE((Z58,AA58,AB58,AC58,AD58,AE58,AF58,AG58,AH58,AI58),{1;2;3;4;5;6;7;8;9}))))</f>
        <v>2</v>
      </c>
      <c r="S58" s="193" t="str">
        <f>INDEX(ETAPP!B$1:B$32,MATCH(COUNTIF(BI58:BR58,1),ETAPP!A$1:A$32,0))&amp;INDEX(ETAPP!B$1:B$32,MATCH(COUNTIF(BI58:BR58,2),ETAPP!A$1:A$32,0))&amp;INDEX(ETAPP!B$1:B$32,MATCH(COUNTIF(BI58:BR58,3),ETAPP!A$1:A$32,0))&amp;INDEX(ETAPP!B$1:B$32,MATCH(COUNTIF(BI58:BR58,4),ETAPP!A$1:A$32,0))&amp;INDEX(ETAPP!B$1:B$32,MATCH(COUNTIF(BI58:BR58,5),ETAPP!A$1:A$32,0))&amp;INDEX(ETAPP!B$1:B$32,MATCH(COUNTIF(BI58:BR58,6),ETAPP!A$1:A$32,0))&amp;INDEX(ETAPP!B$1:B$32,MATCH(COUNTIF(BI58:BR58,7),ETAPP!A$1:A$32,0))&amp;INDEX(ETAPP!B$1:B$32,MATCH(COUNTIF(BI58:BR58,8),ETAPP!A$1:A$32,0))&amp;INDEX(ETAPP!B$1:B$32,MATCH(COUNTIF(BI58:BR58,9),ETAPP!A$1:A$32,0))&amp;INDEX(ETAPP!B$1:B$32,MATCH(COUNTIF(BI58:BR58,10),ETAPP!A$1:A$32,0))&amp;INDEX(ETAPP!B$1:B$32,MATCH(COUNTIF(BI58:BR58,11),ETAPP!A$1:A$32,0))&amp;INDEX(ETAPP!B$1:B$32,MATCH(COUNTIF(BI58:BR58,12),ETAPP!A$1:A$32,0))&amp;INDEX(ETAPP!B$1:B$32,MATCH(COUNTIF(BI58:BR58,13),ETAPP!A$1:A$32,0))&amp;INDEX(ETAPP!B$1:B$32,MATCH(COUNTIF(BI58:BR58,14),ETAPP!A$1:A$32,0))&amp;INDEX(ETAPP!B$1:B$32,MATCH(COUNTIF(BI58:BR58,15),ETAPP!A$1:A$32,0))&amp;INDEX(ETAPP!B$1:B$32,MATCH(COUNTIF(BI58:BR58,16),ETAPP!A$1:A$32,0))&amp;INDEX(ETAPP!B$1:B$32,MATCH(COUNTIF(BI58:BR58,17),ETAPP!A$1:A$32,0))&amp;INDEX(ETAPP!B$1:B$32,MATCH(COUNTIF(BI58:BR58,18),ETAPP!A$1:A$32,0))&amp;INDEX(ETAPP!B$1:B$32,MATCH(COUNTIF(BI58:BR58,19),ETAPP!A$1:A$32,0))&amp;INDEX(ETAPP!B$1:B$32,MATCH(COUNTIF(BI58:BR58,20),ETAPP!A$1:A$32,0))&amp;INDEX(ETAPP!B$1:B$32,MATCH(COUNTIF(BI58:BR58,21),ETAPP!A$1:A$32,0))</f>
        <v>0000000000000000000A0</v>
      </c>
      <c r="T58" s="193" t="str">
        <f>TEXT(R58,"000,0")&amp;"-"&amp;S58</f>
        <v>002,0-0000000000000000000A0</v>
      </c>
      <c r="U58" s="193">
        <f>COUNTIF(T$7:T$126,"&gt;="&amp;T58)</f>
        <v>52</v>
      </c>
      <c r="V58" s="193">
        <f>COUNTIF(L$7:L$126,"&gt;="&amp;L58)</f>
        <v>49</v>
      </c>
      <c r="W58" s="193" t="str">
        <f>TEXT(R58,"000,0")&amp;"-"&amp;S58&amp;"-"&amp;TEXT(V58,"000")</f>
        <v>002,0-0000000000000000000A0-049</v>
      </c>
      <c r="X58" s="193">
        <f>COUNTIF(W$7:W$126,"&gt;="&amp;W58)</f>
        <v>52</v>
      </c>
      <c r="Y58" s="201">
        <f>RANK(X58,X$7:X$126,0)</f>
        <v>69</v>
      </c>
      <c r="Z58" s="202" t="str">
        <f>IFERROR(INDEX('V1'!C$300:C$400,MATCH("*"&amp;L58&amp;"*",'V1'!B$300:B$400,0)),"  ")</f>
        <v>  </v>
      </c>
      <c r="AA58" s="202" t="str">
        <f>IFERROR(INDEX('V2'!C$300:C$400,MATCH("*"&amp;L58&amp;"*",'V2'!B$300:B$400,0)),"  ")</f>
        <v>  </v>
      </c>
      <c r="AB58" s="202" t="str">
        <f>IFERROR(INDEX('V3'!C$300:C$400,MATCH("*"&amp;L58&amp;"*",'V3'!B$300:B$400,0)),"  ")</f>
        <v>  </v>
      </c>
      <c r="AC58" s="202" t="str">
        <f>IFERROR(INDEX('V4'!C$300:C$400,MATCH("*"&amp;L58&amp;"*",'V4'!B$300:B$400,0)),"  ")</f>
        <v>  </v>
      </c>
      <c r="AD58" s="202">
        <f>IFERROR(INDEX('V5'!C$300:C$400,MATCH("*"&amp;L58&amp;"*",'V5'!B$300:B$400,0)),"  ")</f>
        <v>2</v>
      </c>
      <c r="AE58" s="202" t="str">
        <f>IFERROR(INDEX('V6'!C$300:C$400,MATCH("*"&amp;L58&amp;"*",'V6'!B$300:B$400,0)),"  ")</f>
        <v>  </v>
      </c>
      <c r="AF58" s="202" t="str">
        <f>IFERROR(INDEX('V7'!C$300:C$400,MATCH("*"&amp;L58&amp;"*",'V7'!B$300:B$400,0)),"  ")</f>
        <v>  </v>
      </c>
      <c r="AG58" s="202" t="str">
        <f>IFERROR(INDEX('V8'!C$300:C$400,MATCH("*"&amp;L58&amp;"*",'V8'!B$300:B$400,0)),"  ")</f>
        <v>  </v>
      </c>
      <c r="AH58" s="202"/>
      <c r="AI58" s="202"/>
      <c r="AJ58" s="222" t="str">
        <f>IF(AN58&gt;(AT$2-1),K58,"")</f>
        <v/>
      </c>
      <c r="AK58" s="223">
        <f>SUM(Z58:AI58)</f>
        <v>2</v>
      </c>
      <c r="AL58" s="224">
        <f>IFERROR("edasi "&amp;RANK(AJ58,AJ$7:AJ$126,1),K58)</f>
        <v>50</v>
      </c>
      <c r="AM58" s="225" t="str">
        <f>IFERROR(INDEX(#REF!,MATCH("*"&amp;L58&amp;"*",#REF!,0)),"  ")</f>
        <v>  </v>
      </c>
      <c r="AN58" s="226">
        <f>COUNTIF(Z58:AI58,"&gt;=0")</f>
        <v>1</v>
      </c>
      <c r="AO58" s="126">
        <f>IFERROR(IF(Z58+1&gt;LARGE(Z$7:Z$126,1)-2*LEN(Z$5),1),0)+IFERROR(IF(AA58+1&gt;LARGE(AA$7:AA$126,1)-2*LEN(AA$5),1),0)+IFERROR(IF(AB58+1&gt;LARGE(AB$7:AB$126,1)-2*LEN(AB$5),1),0)+IFERROR(IF(AC58+1&gt;LARGE(AC$7:AC$126,1)-2*LEN(AC$5),1),0)+IFERROR(IF(AD58+1&gt;LARGE(AD$7:AD$126,1)-2*LEN(AD$5),1),0)+IFERROR(IF(AE58+1&gt;LARGE(AE$7:AE$126,1)-2*LEN(AE$5),1),0)+IFERROR(IF(AF58+1&gt;LARGE(AF$7:AF$126,1)-2*LEN(AF$5),1),0)+IFERROR(IF(AG58+1&gt;LARGE(AG$7:AG$126,1)-2*LEN(AG$5),1),0)+IFERROR(IF(AH58+1&gt;LARGE(AH$7:AH$126,1)-2*LEN(AH$5),1),0)+IFERROR(IF(AI58+1&gt;LARGE(AI$7:AI$126,1)-2*LEN(AI$5),1),0)</f>
        <v>0</v>
      </c>
      <c r="AP58" s="126">
        <f>IF(Z58=0,0,IF(Z58=IFERROR(LARGE(Z$7:Z$126,1),0),1,0))+IF(AA58=0,0,IF(AA58=IFERROR(LARGE(AA$7:AA$126,1),0),1,0))+IF(AB58=0,0,IF(AB58=IFERROR(LARGE(AB$7:AB$126,1),0),1,0))+IF(AC58=0,0,IF(AC58=IFERROR(LARGE(AC$7:AC$126,1),0),1,0))+IF(AD58=0,0,IF(AD58=IFERROR(LARGE(AD$7:AD$126,1),0),1,0))+IF(AE58=0,0,IF(AE58=IFERROR(LARGE(AE$7:AE$126,1),0),1,0))+IF(AF58=0,0,IF(AF58=IFERROR(LARGE(AF$7:AF$126,1),0),1,0))+IF(AG58=0,0,IF(AG58=IFERROR(LARGE(AG$7:AG$126,1),0),1,0))+IF(AH58=0,0,IF(AH58=IFERROR(LARGE(AH$7:AH$126,1),0),1,0))+IF(AI58=0,0,IF(AI58=IFERROR(LARGE(AI$7:AI$126,1),0),1,0))</f>
        <v>0</v>
      </c>
      <c r="AQ58" s="233"/>
      <c r="AR58" s="233"/>
      <c r="AS58" s="233"/>
      <c r="AT58" s="234">
        <f>SMALL(AU58:BD58,AT$3)</f>
        <v>0.0001</v>
      </c>
      <c r="AU58" s="235">
        <f>IF(Z58="  ",0+MID(Z$6,FIND("V",Z$6)+1,256)/10000,Z58+MID(Z$6,FIND("V",Z$6)+1,256)/10000)</f>
        <v>0.0001</v>
      </c>
      <c r="AV58" s="235">
        <f>IF(AA58="  ",0+MID(AA$6,FIND("V",AA$6)+1,256)/10000,AA58+MID(AA$6,FIND("V",AA$6)+1,256)/10000)</f>
        <v>0.0002</v>
      </c>
      <c r="AW58" s="235">
        <f>IF(AB58="  ",0+MID(AB$6,FIND("V",AB$6)+1,256)/10000,AB58+MID(AB$6,FIND("V",AB$6)+1,256)/10000)</f>
        <v>0.0003</v>
      </c>
      <c r="AX58" s="235">
        <f>IF(AC58="  ",0+MID(AC$6,FIND("V",AC$6)+1,256)/10000,AC58+MID(AC$6,FIND("V",AC$6)+1,256)/10000)</f>
        <v>0.0004</v>
      </c>
      <c r="AY58" s="235">
        <f>IF(AD58="  ",0+MID(AD$6,FIND("V",AD$6)+1,256)/10000,AD58+MID(AD$6,FIND("V",AD$6)+1,256)/10000)</f>
        <v>2.0005</v>
      </c>
      <c r="AZ58" s="235">
        <f>IF(AE58="  ",0+MID(AE$6,FIND("V",AE$6)+1,256)/10000,AE58+MID(AE$6,FIND("V",AE$6)+1,256)/10000)</f>
        <v>0.0006</v>
      </c>
      <c r="BA58" s="235">
        <f>IF(AF58="  ",0+MID(AF$6,FIND("V",AF$6)+1,256)/10000,AF58+MID(AF$6,FIND("V",AF$6)+1,256)/10000)</f>
        <v>0.0007</v>
      </c>
      <c r="BB58" s="235">
        <f>IF(AG58="  ",0+MID(AG$6,FIND("V",AG$6)+1,256)/10000,AG58+MID(AG$6,FIND("V",AG$6)+1,256)/10000)</f>
        <v>0.0008</v>
      </c>
      <c r="BC58" s="235">
        <f>IF(AH58="  ",0+MID(AH$6,FIND("V",AH$6)+1,256)/10000,AH58+MID(AH$6,FIND("V",AH$6)+1,256)/10000)</f>
        <v>0.0009</v>
      </c>
      <c r="BD58" s="235">
        <f>IF(AI58="  ",0+MID(AI$6,FIND("V",AI$6)+1,256)/10000,AI58+MID(AI$6,FIND("V",AI$6)+1,256)/10000)</f>
        <v>0.001</v>
      </c>
      <c r="BE58" s="233"/>
      <c r="BF58" s="233"/>
      <c r="BG58" s="233"/>
      <c r="BH58" s="233"/>
      <c r="BI58" s="3" t="e">
        <f>(LARGE(Z$7:Z$126,1)-Z58)/2+1</f>
        <v>#VALUE!</v>
      </c>
      <c r="BJ58" s="3" t="e">
        <f>(LARGE(AA$7:AA$126,1)-AA58)/2+1</f>
        <v>#VALUE!</v>
      </c>
      <c r="BK58" s="3" t="e">
        <f>(LARGE(AB$7:AB$126,1)-AB58)/2+1</f>
        <v>#VALUE!</v>
      </c>
      <c r="BL58" s="3" t="e">
        <f>(LARGE(AC$7:AC$126,1)-AC58)/2+1</f>
        <v>#VALUE!</v>
      </c>
      <c r="BM58" s="3">
        <f>(LARGE(AD$7:AD$126,1)-AD58)/2+1</f>
        <v>20</v>
      </c>
      <c r="BN58" s="3" t="e">
        <f>(LARGE(AE$7:AE$126,1)-AE58)/2+1</f>
        <v>#VALUE!</v>
      </c>
      <c r="BO58" s="3" t="e">
        <f>(LARGE(AF$7:AF$126,1)-AF58)/2+1</f>
        <v>#VALUE!</v>
      </c>
      <c r="BP58" s="3" t="e">
        <f>(LARGE(AG$7:AG$126,1)-AG58)/2+1</f>
        <v>#VALUE!</v>
      </c>
      <c r="BQ58" s="3" t="e">
        <f>(LARGE(AH$7:AH$126,1)-AH58)/2+1</f>
        <v>#NUM!</v>
      </c>
      <c r="BR58" s="3" t="e">
        <f>(LARGE(AI$7:AI$126,1)-AI58)/2+1</f>
        <v>#NUM!</v>
      </c>
    </row>
    <row r="59" ht="12.75" hidden="1" customHeight="1" spans="1:70">
      <c r="A59" s="139" t="str">
        <f>IF(R59&gt;0,IF(Q59="Viru SK",RANK(B59,B$7:B$126,1)-COUNTIF((Q$7:Q$126),"&lt;&gt;Viru SK"),""),"")</f>
        <v/>
      </c>
      <c r="B59" s="140">
        <f>IF((Q59="Viru SK"),U59,U59-1000)</f>
        <v>-880</v>
      </c>
      <c r="C59" s="141" t="str">
        <f>IF(R59&gt;0,IF(P59="t",RANK(D59,D$7:D$126,1)-COUNTBLANK(P$7:P$126),""),"")</f>
        <v/>
      </c>
      <c r="D59" s="142">
        <f>IF((P59="t"),U59,U59-1000)</f>
        <v>-880</v>
      </c>
      <c r="E59" s="143" t="str">
        <f>IF(R59&gt;0,IF(N59="m",RANK(F59,F$7:F$126,1)-COUNTBLANK(N$7:N$126),""),"")</f>
        <v/>
      </c>
      <c r="F59" s="144">
        <f>IF((N59="m"),U59,U59-1000)</f>
        <v>120</v>
      </c>
      <c r="G59" s="145" t="str">
        <f>IF(R59&gt;0,IF(M59="n",RANK(H59,H$7:H$126,1)-COUNTBLANK(M$7:M$126),""),"")</f>
        <v/>
      </c>
      <c r="H59" s="144">
        <f>IF((M59="n"),U59,U59-1000)</f>
        <v>-880</v>
      </c>
      <c r="I59" s="160" t="str">
        <f>IF(R59&gt;0,IF(O59="j",RANK(J59,J$7:J$126,1)-COUNTBLANK(O$7:O$126),""),"")</f>
        <v/>
      </c>
      <c r="J59" s="161">
        <f>IF((O59="j"),U59,U59-1000)</f>
        <v>-880</v>
      </c>
      <c r="K59" s="162" t="str">
        <f>IF(R59&gt;0,RANK(U59,U$7:U$126,1),"")</f>
        <v/>
      </c>
      <c r="L59" s="168" t="s">
        <v>248</v>
      </c>
      <c r="M59" s="164"/>
      <c r="N59" s="165" t="str">
        <f>IF(M59="","m","")</f>
        <v>m</v>
      </c>
      <c r="O59" s="166"/>
      <c r="P59" s="167"/>
      <c r="Q59" s="192" t="s">
        <v>200</v>
      </c>
      <c r="R59" s="154">
        <f>(IF(COUNT(Z59,AA59,AB59,AC59,AD59,AE59,AF59,AG59,AH59,AI59)&lt;10,SUM(Z59,AA59,AB59,AC59,AD59,AE59,AF59,AG59,AH59,AI59),SUM(LARGE((Z59,AA59,AB59,AC59,AD59,AE59,AF59,AG59,AH59,AI59),{1;2;3;4;5;6;7;8;9}))))</f>
        <v>0</v>
      </c>
      <c r="S59" s="193" t="str">
        <f>INDEX(ETAPP!B$1:B$32,MATCH(COUNTIF(BI59:BR59,1),ETAPP!A$1:A$32,0))&amp;INDEX(ETAPP!B$1:B$32,MATCH(COUNTIF(BI59:BR59,2),ETAPP!A$1:A$32,0))&amp;INDEX(ETAPP!B$1:B$32,MATCH(COUNTIF(BI59:BR59,3),ETAPP!A$1:A$32,0))&amp;INDEX(ETAPP!B$1:B$32,MATCH(COUNTIF(BI59:BR59,4),ETAPP!A$1:A$32,0))&amp;INDEX(ETAPP!B$1:B$32,MATCH(COUNTIF(BI59:BR59,5),ETAPP!A$1:A$32,0))&amp;INDEX(ETAPP!B$1:B$32,MATCH(COUNTIF(BI59:BR59,6),ETAPP!A$1:A$32,0))&amp;INDEX(ETAPP!B$1:B$32,MATCH(COUNTIF(BI59:BR59,7),ETAPP!A$1:A$32,0))&amp;INDEX(ETAPP!B$1:B$32,MATCH(COUNTIF(BI59:BR59,8),ETAPP!A$1:A$32,0))&amp;INDEX(ETAPP!B$1:B$32,MATCH(COUNTIF(BI59:BR59,9),ETAPP!A$1:A$32,0))&amp;INDEX(ETAPP!B$1:B$32,MATCH(COUNTIF(BI59:BR59,10),ETAPP!A$1:A$32,0))&amp;INDEX(ETAPP!B$1:B$32,MATCH(COUNTIF(BI59:BR59,11),ETAPP!A$1:A$32,0))&amp;INDEX(ETAPP!B$1:B$32,MATCH(COUNTIF(BI59:BR59,12),ETAPP!A$1:A$32,0))&amp;INDEX(ETAPP!B$1:B$32,MATCH(COUNTIF(BI59:BR59,13),ETAPP!A$1:A$32,0))&amp;INDEX(ETAPP!B$1:B$32,MATCH(COUNTIF(BI59:BR59,14),ETAPP!A$1:A$32,0))&amp;INDEX(ETAPP!B$1:B$32,MATCH(COUNTIF(BI59:BR59,15),ETAPP!A$1:A$32,0))&amp;INDEX(ETAPP!B$1:B$32,MATCH(COUNTIF(BI59:BR59,16),ETAPP!A$1:A$32,0))&amp;INDEX(ETAPP!B$1:B$32,MATCH(COUNTIF(BI59:BR59,17),ETAPP!A$1:A$32,0))&amp;INDEX(ETAPP!B$1:B$32,MATCH(COUNTIF(BI59:BR59,18),ETAPP!A$1:A$32,0))&amp;INDEX(ETAPP!B$1:B$32,MATCH(COUNTIF(BI59:BR59,19),ETAPP!A$1:A$32,0))&amp;INDEX(ETAPP!B$1:B$32,MATCH(COUNTIF(BI59:BR59,20),ETAPP!A$1:A$32,0))&amp;INDEX(ETAPP!B$1:B$32,MATCH(COUNTIF(BI59:BR59,21),ETAPP!A$1:A$32,0))</f>
        <v>000000000000000000000</v>
      </c>
      <c r="T59" s="193" t="str">
        <f>TEXT(R59,"000,0")&amp;"-"&amp;S59</f>
        <v>000,0-000000000000000000000</v>
      </c>
      <c r="U59" s="193">
        <f>COUNTIF(T$7:T$126,"&gt;="&amp;T59)</f>
        <v>120</v>
      </c>
      <c r="V59" s="193">
        <f>COUNTIF(L$7:L$126,"&gt;="&amp;L59)</f>
        <v>120</v>
      </c>
      <c r="W59" s="193" t="str">
        <f>TEXT(R59,"000,0")&amp;"-"&amp;S59&amp;"-"&amp;TEXT(V59,"000")</f>
        <v>000,0-000000000000000000000-120</v>
      </c>
      <c r="X59" s="193">
        <f>COUNTIF(W$7:W$126,"&gt;="&amp;W59)</f>
        <v>53</v>
      </c>
      <c r="Y59" s="201">
        <f>RANK(X59,X$7:X$126,0)</f>
        <v>68</v>
      </c>
      <c r="Z59" s="202" t="str">
        <f>IFERROR(INDEX('V1'!C$300:C$400,MATCH("*"&amp;L59&amp;"*",'V1'!B$300:B$400,0)),"  ")</f>
        <v>  </v>
      </c>
      <c r="AA59" s="202" t="str">
        <f>IFERROR(INDEX('V2'!C$300:C$400,MATCH("*"&amp;L59&amp;"*",'V2'!B$300:B$400,0)),"  ")</f>
        <v>  </v>
      </c>
      <c r="AB59" s="202" t="str">
        <f>IFERROR(INDEX('V3'!C$300:C$400,MATCH("*"&amp;L59&amp;"*",'V3'!B$300:B$400,0)),"  ")</f>
        <v>  </v>
      </c>
      <c r="AC59" s="202" t="str">
        <f>IFERROR(INDEX('V4'!C$300:C$400,MATCH("*"&amp;L59&amp;"*",'V4'!B$300:B$400,0)),"  ")</f>
        <v>  </v>
      </c>
      <c r="AD59" s="202" t="str">
        <f>IFERROR(INDEX('V5'!C$300:C$400,MATCH("*"&amp;L59&amp;"*",'V5'!B$300:B$400,0)),"  ")</f>
        <v>  </v>
      </c>
      <c r="AE59" s="202" t="str">
        <f>IFERROR(INDEX('V6'!C$300:C$400,MATCH("*"&amp;L59&amp;"*",'V6'!B$300:B$400,0)),"  ")</f>
        <v>  </v>
      </c>
      <c r="AF59" s="202" t="str">
        <f>IFERROR(INDEX('V7'!C$300:C$400,MATCH("*"&amp;L59&amp;"*",'V7'!B$300:B$400,0)),"  ")</f>
        <v>  </v>
      </c>
      <c r="AG59" s="202" t="str">
        <f>IFERROR(INDEX('V8'!C$300:C$400,MATCH("*"&amp;L59&amp;"*",'V8'!B$300:B$400,0)),"  ")</f>
        <v>  </v>
      </c>
      <c r="AH59" s="202"/>
      <c r="AI59" s="202"/>
      <c r="AJ59" s="222" t="str">
        <f>IF(AN59&gt;(AT$2-1),K59,"")</f>
        <v/>
      </c>
      <c r="AK59" s="223">
        <f>SUM(Z59:AI59)</f>
        <v>0</v>
      </c>
      <c r="AL59" s="224" t="str">
        <f>IFERROR("edasi "&amp;RANK(AJ59,AJ$7:AJ$126,1),K59)</f>
        <v/>
      </c>
      <c r="AM59" s="225" t="str">
        <f>IFERROR(INDEX(#REF!,MATCH("*"&amp;L59&amp;"*",#REF!,0)),"  ")</f>
        <v>  </v>
      </c>
      <c r="AN59" s="226">
        <f>COUNTIF(Z59:AI59,"&gt;=0")</f>
        <v>0</v>
      </c>
      <c r="AO59" s="126">
        <f>IFERROR(IF(Z59+1&gt;LARGE(Z$7:Z$126,1)-2*LEN(Z$5),1),0)+IFERROR(IF(AA59+1&gt;LARGE(AA$7:AA$126,1)-2*LEN(AA$5),1),0)+IFERROR(IF(AB59+1&gt;LARGE(AB$7:AB$126,1)-2*LEN(AB$5),1),0)+IFERROR(IF(AC59+1&gt;LARGE(AC$7:AC$126,1)-2*LEN(AC$5),1),0)+IFERROR(IF(AD59+1&gt;LARGE(AD$7:AD$126,1)-2*LEN(AD$5),1),0)+IFERROR(IF(AE59+1&gt;LARGE(AE$7:AE$126,1)-2*LEN(AE$5),1),0)+IFERROR(IF(AF59+1&gt;LARGE(AF$7:AF$126,1)-2*LEN(AF$5),1),0)+IFERROR(IF(AG59+1&gt;LARGE(AG$7:AG$126,1)-2*LEN(AG$5),1),0)+IFERROR(IF(AH59+1&gt;LARGE(AH$7:AH$126,1)-2*LEN(AH$5),1),0)+IFERROR(IF(AI59+1&gt;LARGE(AI$7:AI$126,1)-2*LEN(AI$5),1),0)</f>
        <v>0</v>
      </c>
      <c r="AP59" s="126">
        <f>IF(Z59=0,0,IF(Z59=IFERROR(LARGE(Z$7:Z$126,1),0),1,0))+IF(AA59=0,0,IF(AA59=IFERROR(LARGE(AA$7:AA$126,1),0),1,0))+IF(AB59=0,0,IF(AB59=IFERROR(LARGE(AB$7:AB$126,1),0),1,0))+IF(AC59=0,0,IF(AC59=IFERROR(LARGE(AC$7:AC$126,1),0),1,0))+IF(AD59=0,0,IF(AD59=IFERROR(LARGE(AD$7:AD$126,1),0),1,0))+IF(AE59=0,0,IF(AE59=IFERROR(LARGE(AE$7:AE$126,1),0),1,0))+IF(AF59=0,0,IF(AF59=IFERROR(LARGE(AF$7:AF$126,1),0),1,0))+IF(AG59=0,0,IF(AG59=IFERROR(LARGE(AG$7:AG$126,1),0),1,0))+IF(AH59=0,0,IF(AH59=IFERROR(LARGE(AH$7:AH$126,1),0),1,0))+IF(AI59=0,0,IF(AI59=IFERROR(LARGE(AI$7:AI$126,1),0),1,0))</f>
        <v>0</v>
      </c>
      <c r="AQ59" s="233"/>
      <c r="AR59" s="233"/>
      <c r="AS59" s="233"/>
      <c r="AT59" s="234">
        <f>SMALL(AU59:BD59,AT$3)</f>
        <v>0.0001</v>
      </c>
      <c r="AU59" s="235">
        <f>IF(Z59="  ",0+MID(Z$6,FIND("V",Z$6)+1,256)/10000,Z59+MID(Z$6,FIND("V",Z$6)+1,256)/10000)</f>
        <v>0.0001</v>
      </c>
      <c r="AV59" s="235">
        <f>IF(AA59="  ",0+MID(AA$6,FIND("V",AA$6)+1,256)/10000,AA59+MID(AA$6,FIND("V",AA$6)+1,256)/10000)</f>
        <v>0.0002</v>
      </c>
      <c r="AW59" s="235">
        <f>IF(AB59="  ",0+MID(AB$6,FIND("V",AB$6)+1,256)/10000,AB59+MID(AB$6,FIND("V",AB$6)+1,256)/10000)</f>
        <v>0.0003</v>
      </c>
      <c r="AX59" s="235">
        <f>IF(AC59="  ",0+MID(AC$6,FIND("V",AC$6)+1,256)/10000,AC59+MID(AC$6,FIND("V",AC$6)+1,256)/10000)</f>
        <v>0.0004</v>
      </c>
      <c r="AY59" s="235">
        <f>IF(AD59="  ",0+MID(AD$6,FIND("V",AD$6)+1,256)/10000,AD59+MID(AD$6,FIND("V",AD$6)+1,256)/10000)</f>
        <v>0.0005</v>
      </c>
      <c r="AZ59" s="235">
        <f>IF(AE59="  ",0+MID(AE$6,FIND("V",AE$6)+1,256)/10000,AE59+MID(AE$6,FIND("V",AE$6)+1,256)/10000)</f>
        <v>0.0006</v>
      </c>
      <c r="BA59" s="235">
        <f>IF(AF59="  ",0+MID(AF$6,FIND("V",AF$6)+1,256)/10000,AF59+MID(AF$6,FIND("V",AF$6)+1,256)/10000)</f>
        <v>0.0007</v>
      </c>
      <c r="BB59" s="235">
        <f>IF(AG59="  ",0+MID(AG$6,FIND("V",AG$6)+1,256)/10000,AG59+MID(AG$6,FIND("V",AG$6)+1,256)/10000)</f>
        <v>0.0008</v>
      </c>
      <c r="BC59" s="235">
        <f>IF(AH59="  ",0+MID(AH$6,FIND("V",AH$6)+1,256)/10000,AH59+MID(AH$6,FIND("V",AH$6)+1,256)/10000)</f>
        <v>0.0009</v>
      </c>
      <c r="BD59" s="235">
        <f>IF(AI59="  ",0+MID(AI$6,FIND("V",AI$6)+1,256)/10000,AI59+MID(AI$6,FIND("V",AI$6)+1,256)/10000)</f>
        <v>0.001</v>
      </c>
      <c r="BE59" s="233"/>
      <c r="BF59" s="233"/>
      <c r="BG59" s="233"/>
      <c r="BH59" s="233"/>
      <c r="BI59" s="3" t="e">
        <f>(LARGE(Z$7:Z$126,1)-Z59)/2+1</f>
        <v>#VALUE!</v>
      </c>
      <c r="BJ59" s="3" t="e">
        <f>(LARGE(AA$7:AA$126,1)-AA59)/2+1</f>
        <v>#VALUE!</v>
      </c>
      <c r="BK59" s="3" t="e">
        <f>(LARGE(AB$7:AB$126,1)-AB59)/2+1</f>
        <v>#VALUE!</v>
      </c>
      <c r="BL59" s="3" t="e">
        <f>(LARGE(AC$7:AC$126,1)-AC59)/2+1</f>
        <v>#VALUE!</v>
      </c>
      <c r="BM59" s="3" t="e">
        <f>(LARGE(AD$7:AD$126,1)-AD59)/2+1</f>
        <v>#VALUE!</v>
      </c>
      <c r="BN59" s="3" t="e">
        <f>(LARGE(AE$7:AE$126,1)-AE59)/2+1</f>
        <v>#VALUE!</v>
      </c>
      <c r="BO59" s="3" t="e">
        <f>(LARGE(AF$7:AF$126,1)-AF59)/2+1</f>
        <v>#VALUE!</v>
      </c>
      <c r="BP59" s="3" t="e">
        <f>(LARGE(AG$7:AG$126,1)-AG59)/2+1</f>
        <v>#VALUE!</v>
      </c>
      <c r="BQ59" s="3" t="e">
        <f>(LARGE(AH$7:AH$126,1)-AH59)/2+1</f>
        <v>#NUM!</v>
      </c>
      <c r="BR59" s="3" t="e">
        <f>(LARGE(AI$7:AI$126,1)-AI59)/2+1</f>
        <v>#NUM!</v>
      </c>
    </row>
    <row r="60" ht="12.75" hidden="1" customHeight="1" spans="1:70">
      <c r="A60" s="139" t="str">
        <f>IF(R60&gt;0,IF(Q60="Viru SK",RANK(B60,B$7:B$126,1)-COUNTIF((Q$7:Q$126),"&lt;&gt;Viru SK"),""),"")</f>
        <v/>
      </c>
      <c r="B60" s="140">
        <f>IF((Q60="Viru SK"),U60,U60-1000)</f>
        <v>-880</v>
      </c>
      <c r="C60" s="141" t="str">
        <f>IF(R60&gt;0,IF(P60="t",RANK(D60,D$7:D$126,1)-COUNTBLANK(P$7:P$126),""),"")</f>
        <v/>
      </c>
      <c r="D60" s="142">
        <f>IF((P60="t"),U60,U60-1000)</f>
        <v>-880</v>
      </c>
      <c r="E60" s="143" t="str">
        <f>IF(R60&gt;0,IF(N60="m",RANK(F60,F$7:F$126,1)-COUNTBLANK(N$7:N$126),""),"")</f>
        <v/>
      </c>
      <c r="F60" s="144">
        <f>IF((N60="m"),U60,U60-1000)</f>
        <v>-880</v>
      </c>
      <c r="G60" s="145" t="str">
        <f>IF(R60&gt;0,IF(M60="n",RANK(H60,H$7:H$126,1)-COUNTBLANK(M$7:M$126),""),"")</f>
        <v/>
      </c>
      <c r="H60" s="144">
        <f>IF((M60="n"),U60,U60-1000)</f>
        <v>120</v>
      </c>
      <c r="I60" s="160" t="str">
        <f>IF(R60&gt;0,IF(O60="j",RANK(J60,J$7:J$126,1)-COUNTBLANK(O$7:O$126),""),"")</f>
        <v/>
      </c>
      <c r="J60" s="161">
        <f>IF((O60="j"),U60,U60-1000)</f>
        <v>-880</v>
      </c>
      <c r="K60" s="162" t="str">
        <f>IF(R60&gt;0,RANK(U60,U$7:U$126,1),"")</f>
        <v/>
      </c>
      <c r="L60" s="168" t="s">
        <v>249</v>
      </c>
      <c r="M60" s="164" t="s">
        <v>203</v>
      </c>
      <c r="N60" s="165"/>
      <c r="O60" s="166"/>
      <c r="P60" s="167"/>
      <c r="Q60" s="192"/>
      <c r="R60" s="154">
        <f>(IF(COUNT(Z60,AA60,AB60,AC60,AD60,AE60,AF60,AG60,AH60,AI60)&lt;10,SUM(Z60,AA60,AB60,AC60,AD60,AE60,AF60,AG60,AH60,AI60),SUM(LARGE((Z60,AA60,AB60,AC60,AD60,AE60,AF60,AG60,AH60,AI60),{1;2;3;4;5;6;7;8;9}))))</f>
        <v>0</v>
      </c>
      <c r="S60" s="193" t="str">
        <f>INDEX(ETAPP!B$1:B$32,MATCH(COUNTIF(BI60:BR60,1),ETAPP!A$1:A$32,0))&amp;INDEX(ETAPP!B$1:B$32,MATCH(COUNTIF(BI60:BR60,2),ETAPP!A$1:A$32,0))&amp;INDEX(ETAPP!B$1:B$32,MATCH(COUNTIF(BI60:BR60,3),ETAPP!A$1:A$32,0))&amp;INDEX(ETAPP!B$1:B$32,MATCH(COUNTIF(BI60:BR60,4),ETAPP!A$1:A$32,0))&amp;INDEX(ETAPP!B$1:B$32,MATCH(COUNTIF(BI60:BR60,5),ETAPP!A$1:A$32,0))&amp;INDEX(ETAPP!B$1:B$32,MATCH(COUNTIF(BI60:BR60,6),ETAPP!A$1:A$32,0))&amp;INDEX(ETAPP!B$1:B$32,MATCH(COUNTIF(BI60:BR60,7),ETAPP!A$1:A$32,0))&amp;INDEX(ETAPP!B$1:B$32,MATCH(COUNTIF(BI60:BR60,8),ETAPP!A$1:A$32,0))&amp;INDEX(ETAPP!B$1:B$32,MATCH(COUNTIF(BI60:BR60,9),ETAPP!A$1:A$32,0))&amp;INDEX(ETAPP!B$1:B$32,MATCH(COUNTIF(BI60:BR60,10),ETAPP!A$1:A$32,0))&amp;INDEX(ETAPP!B$1:B$32,MATCH(COUNTIF(BI60:BR60,11),ETAPP!A$1:A$32,0))&amp;INDEX(ETAPP!B$1:B$32,MATCH(COUNTIF(BI60:BR60,12),ETAPP!A$1:A$32,0))&amp;INDEX(ETAPP!B$1:B$32,MATCH(COUNTIF(BI60:BR60,13),ETAPP!A$1:A$32,0))&amp;INDEX(ETAPP!B$1:B$32,MATCH(COUNTIF(BI60:BR60,14),ETAPP!A$1:A$32,0))&amp;INDEX(ETAPP!B$1:B$32,MATCH(COUNTIF(BI60:BR60,15),ETAPP!A$1:A$32,0))&amp;INDEX(ETAPP!B$1:B$32,MATCH(COUNTIF(BI60:BR60,16),ETAPP!A$1:A$32,0))&amp;INDEX(ETAPP!B$1:B$32,MATCH(COUNTIF(BI60:BR60,17),ETAPP!A$1:A$32,0))&amp;INDEX(ETAPP!B$1:B$32,MATCH(COUNTIF(BI60:BR60,18),ETAPP!A$1:A$32,0))&amp;INDEX(ETAPP!B$1:B$32,MATCH(COUNTIF(BI60:BR60,19),ETAPP!A$1:A$32,0))&amp;INDEX(ETAPP!B$1:B$32,MATCH(COUNTIF(BI60:BR60,20),ETAPP!A$1:A$32,0))&amp;INDEX(ETAPP!B$1:B$32,MATCH(COUNTIF(BI60:BR60,21),ETAPP!A$1:A$32,0))</f>
        <v>000000000000000000000</v>
      </c>
      <c r="T60" s="193" t="str">
        <f>TEXT(R60,"000,0")&amp;"-"&amp;S60</f>
        <v>000,0-000000000000000000000</v>
      </c>
      <c r="U60" s="193">
        <f>COUNTIF(T$7:T$126,"&gt;="&amp;T60)</f>
        <v>120</v>
      </c>
      <c r="V60" s="193">
        <f>COUNTIF(L$7:L$126,"&gt;="&amp;L60)</f>
        <v>118</v>
      </c>
      <c r="W60" s="193" t="str">
        <f>TEXT(R60,"000,0")&amp;"-"&amp;S60&amp;"-"&amp;TEXT(V60,"000")</f>
        <v>000,0-000000000000000000000-118</v>
      </c>
      <c r="X60" s="193">
        <f>COUNTIF(W$7:W$126,"&gt;="&amp;W60)</f>
        <v>54</v>
      </c>
      <c r="Y60" s="201">
        <f>RANK(X60,X$7:X$126,0)</f>
        <v>67</v>
      </c>
      <c r="Z60" s="202" t="str">
        <f>IFERROR(INDEX('V1'!C$300:C$400,MATCH("*"&amp;L60&amp;"*",'V1'!B$300:B$400,0)),"  ")</f>
        <v>  </v>
      </c>
      <c r="AA60" s="202" t="str">
        <f>IFERROR(INDEX('V2'!C$300:C$400,MATCH("*"&amp;L60&amp;"*",'V2'!B$300:B$400,0)),"  ")</f>
        <v>  </v>
      </c>
      <c r="AB60" s="202" t="str">
        <f>IFERROR(INDEX('V3'!C$300:C$400,MATCH("*"&amp;L60&amp;"*",'V3'!B$300:B$400,0)),"  ")</f>
        <v>  </v>
      </c>
      <c r="AC60" s="202" t="str">
        <f>IFERROR(INDEX('V4'!C$300:C$400,MATCH("*"&amp;L60&amp;"*",'V4'!B$300:B$400,0)),"  ")</f>
        <v>  </v>
      </c>
      <c r="AD60" s="202" t="str">
        <f>IFERROR(INDEX('V5'!C$300:C$400,MATCH("*"&amp;L60&amp;"*",'V5'!B$300:B$400,0)),"  ")</f>
        <v>  </v>
      </c>
      <c r="AE60" s="202" t="str">
        <f>IFERROR(INDEX('V6'!C$300:C$400,MATCH("*"&amp;L60&amp;"*",'V6'!B$300:B$400,0)),"  ")</f>
        <v>  </v>
      </c>
      <c r="AF60" s="202" t="str">
        <f>IFERROR(INDEX('V7'!C$300:C$400,MATCH("*"&amp;L60&amp;"*",'V7'!B$300:B$400,0)),"  ")</f>
        <v>  </v>
      </c>
      <c r="AG60" s="202" t="str">
        <f>IFERROR(INDEX('V8'!C$300:C$400,MATCH("*"&amp;L60&amp;"*",'V8'!B$300:B$400,0)),"  ")</f>
        <v>  </v>
      </c>
      <c r="AH60" s="202"/>
      <c r="AI60" s="202"/>
      <c r="AJ60" s="222" t="str">
        <f>IF(AN60&gt;(AT$2-1),K60,"")</f>
        <v/>
      </c>
      <c r="AK60" s="223">
        <f>SUM(Z60:AI60)</f>
        <v>0</v>
      </c>
      <c r="AL60" s="224" t="str">
        <f>IFERROR("edasi "&amp;RANK(AJ60,AJ$7:AJ$126,1),K60)</f>
        <v/>
      </c>
      <c r="AM60" s="225" t="str">
        <f>IFERROR(INDEX(#REF!,MATCH("*"&amp;L60&amp;"*",#REF!,0)),"  ")</f>
        <v>  </v>
      </c>
      <c r="AN60" s="226">
        <f>COUNTIF(Z60:AI60,"&gt;=0")</f>
        <v>0</v>
      </c>
      <c r="AO60" s="126">
        <f>IFERROR(IF(Z60+1&gt;LARGE(Z$7:Z$126,1)-2*LEN(Z$5),1),0)+IFERROR(IF(AA60+1&gt;LARGE(AA$7:AA$126,1)-2*LEN(AA$5),1),0)+IFERROR(IF(AB60+1&gt;LARGE(AB$7:AB$126,1)-2*LEN(AB$5),1),0)+IFERROR(IF(AC60+1&gt;LARGE(AC$7:AC$126,1)-2*LEN(AC$5),1),0)+IFERROR(IF(AD60+1&gt;LARGE(AD$7:AD$126,1)-2*LEN(AD$5),1),0)+IFERROR(IF(AE60+1&gt;LARGE(AE$7:AE$126,1)-2*LEN(AE$5),1),0)+IFERROR(IF(AF60+1&gt;LARGE(AF$7:AF$126,1)-2*LEN(AF$5),1),0)+IFERROR(IF(AG60+1&gt;LARGE(AG$7:AG$126,1)-2*LEN(AG$5),1),0)+IFERROR(IF(AH60+1&gt;LARGE(AH$7:AH$126,1)-2*LEN(AH$5),1),0)+IFERROR(IF(AI60+1&gt;LARGE(AI$7:AI$126,1)-2*LEN(AI$5),1),0)</f>
        <v>0</v>
      </c>
      <c r="AP60" s="126">
        <f>IF(Z60=0,0,IF(Z60=IFERROR(LARGE(Z$7:Z$126,1),0),1,0))+IF(AA60=0,0,IF(AA60=IFERROR(LARGE(AA$7:AA$126,1),0),1,0))+IF(AB60=0,0,IF(AB60=IFERROR(LARGE(AB$7:AB$126,1),0),1,0))+IF(AC60=0,0,IF(AC60=IFERROR(LARGE(AC$7:AC$126,1),0),1,0))+IF(AD60=0,0,IF(AD60=IFERROR(LARGE(AD$7:AD$126,1),0),1,0))+IF(AE60=0,0,IF(AE60=IFERROR(LARGE(AE$7:AE$126,1),0),1,0))+IF(AF60=0,0,IF(AF60=IFERROR(LARGE(AF$7:AF$126,1),0),1,0))+IF(AG60=0,0,IF(AG60=IFERROR(LARGE(AG$7:AG$126,1),0),1,0))+IF(AH60=0,0,IF(AH60=IFERROR(LARGE(AH$7:AH$126,1),0),1,0))+IF(AI60=0,0,IF(AI60=IFERROR(LARGE(AI$7:AI$126,1),0),1,0))</f>
        <v>0</v>
      </c>
      <c r="AQ60" s="233"/>
      <c r="AR60" s="233"/>
      <c r="AS60" s="233"/>
      <c r="AT60" s="234">
        <f>SMALL(AU60:BD60,AT$3)</f>
        <v>0.0001</v>
      </c>
      <c r="AU60" s="235">
        <f>IF(Z60="  ",0+MID(Z$6,FIND("V",Z$6)+1,256)/10000,Z60+MID(Z$6,FIND("V",Z$6)+1,256)/10000)</f>
        <v>0.0001</v>
      </c>
      <c r="AV60" s="235">
        <f>IF(AA60="  ",0+MID(AA$6,FIND("V",AA$6)+1,256)/10000,AA60+MID(AA$6,FIND("V",AA$6)+1,256)/10000)</f>
        <v>0.0002</v>
      </c>
      <c r="AW60" s="235">
        <f>IF(AB60="  ",0+MID(AB$6,FIND("V",AB$6)+1,256)/10000,AB60+MID(AB$6,FIND("V",AB$6)+1,256)/10000)</f>
        <v>0.0003</v>
      </c>
      <c r="AX60" s="235">
        <f>IF(AC60="  ",0+MID(AC$6,FIND("V",AC$6)+1,256)/10000,AC60+MID(AC$6,FIND("V",AC$6)+1,256)/10000)</f>
        <v>0.0004</v>
      </c>
      <c r="AY60" s="235">
        <f>IF(AD60="  ",0+MID(AD$6,FIND("V",AD$6)+1,256)/10000,AD60+MID(AD$6,FIND("V",AD$6)+1,256)/10000)</f>
        <v>0.0005</v>
      </c>
      <c r="AZ60" s="235">
        <f>IF(AE60="  ",0+MID(AE$6,FIND("V",AE$6)+1,256)/10000,AE60+MID(AE$6,FIND("V",AE$6)+1,256)/10000)</f>
        <v>0.0006</v>
      </c>
      <c r="BA60" s="235">
        <f>IF(AF60="  ",0+MID(AF$6,FIND("V",AF$6)+1,256)/10000,AF60+MID(AF$6,FIND("V",AF$6)+1,256)/10000)</f>
        <v>0.0007</v>
      </c>
      <c r="BB60" s="235">
        <f>IF(AG60="  ",0+MID(AG$6,FIND("V",AG$6)+1,256)/10000,AG60+MID(AG$6,FIND("V",AG$6)+1,256)/10000)</f>
        <v>0.0008</v>
      </c>
      <c r="BC60" s="235">
        <f>IF(AH60="  ",0+MID(AH$6,FIND("V",AH$6)+1,256)/10000,AH60+MID(AH$6,FIND("V",AH$6)+1,256)/10000)</f>
        <v>0.0009</v>
      </c>
      <c r="BD60" s="235">
        <f>IF(AI60="  ",0+MID(AI$6,FIND("V",AI$6)+1,256)/10000,AI60+MID(AI$6,FIND("V",AI$6)+1,256)/10000)</f>
        <v>0.001</v>
      </c>
      <c r="BE60" s="233"/>
      <c r="BF60" s="233"/>
      <c r="BG60" s="233"/>
      <c r="BH60" s="233"/>
      <c r="BI60" s="3" t="e">
        <f>(LARGE(Z$7:Z$126,1)-Z60)/2+1</f>
        <v>#VALUE!</v>
      </c>
      <c r="BJ60" s="3" t="e">
        <f>(LARGE(AA$7:AA$126,1)-AA60)/2+1</f>
        <v>#VALUE!</v>
      </c>
      <c r="BK60" s="3" t="e">
        <f>(LARGE(AB$7:AB$126,1)-AB60)/2+1</f>
        <v>#VALUE!</v>
      </c>
      <c r="BL60" s="3" t="e">
        <f>(LARGE(AC$7:AC$126,1)-AC60)/2+1</f>
        <v>#VALUE!</v>
      </c>
      <c r="BM60" s="3" t="e">
        <f>(LARGE(AD$7:AD$126,1)-AD60)/2+1</f>
        <v>#VALUE!</v>
      </c>
      <c r="BN60" s="3" t="e">
        <f>(LARGE(AE$7:AE$126,1)-AE60)/2+1</f>
        <v>#VALUE!</v>
      </c>
      <c r="BO60" s="3" t="e">
        <f>(LARGE(AF$7:AF$126,1)-AF60)/2+1</f>
        <v>#VALUE!</v>
      </c>
      <c r="BP60" s="3" t="e">
        <f>(LARGE(AG$7:AG$126,1)-AG60)/2+1</f>
        <v>#VALUE!</v>
      </c>
      <c r="BQ60" s="3" t="e">
        <f>(LARGE(AH$7:AH$126,1)-AH60)/2+1</f>
        <v>#NUM!</v>
      </c>
      <c r="BR60" s="3" t="e">
        <f>(LARGE(AI$7:AI$126,1)-AI60)/2+1</f>
        <v>#NUM!</v>
      </c>
    </row>
    <row r="61" ht="12.75" hidden="1" customHeight="1" spans="1:70">
      <c r="A61" s="139" t="str">
        <f>IF(R61&gt;0,IF(Q61="Viru SK",RANK(B61,B$7:B$126,1)-COUNTIF((Q$7:Q$126),"&lt;&gt;Viru SK"),""),"")</f>
        <v/>
      </c>
      <c r="B61" s="140">
        <f>IF((Q61="Viru SK"),U61,U61-1000)</f>
        <v>120</v>
      </c>
      <c r="C61" s="141" t="str">
        <f>IF(R61&gt;0,IF(P61="t",RANK(D61,D$7:D$126,1)-COUNTBLANK(P$7:P$126),""),"")</f>
        <v/>
      </c>
      <c r="D61" s="142">
        <f>IF((P61="t"),U61,U61-1000)</f>
        <v>-880</v>
      </c>
      <c r="E61" s="143" t="str">
        <f>IF(R61&gt;0,IF(N61="m",RANK(F61,F$7:F$126,1)-COUNTBLANK(N$7:N$126),""),"")</f>
        <v/>
      </c>
      <c r="F61" s="144">
        <f>IF((N61="m"),U61,U61-1000)</f>
        <v>-880</v>
      </c>
      <c r="G61" s="145" t="str">
        <f>IF(R61&gt;0,IF(M61="n",RANK(H61,H$7:H$126,1)-COUNTBLANK(M$7:M$126),""),"")</f>
        <v/>
      </c>
      <c r="H61" s="144">
        <f>IF((M61="n"),U61,U61-1000)</f>
        <v>120</v>
      </c>
      <c r="I61" s="160" t="str">
        <f>IF(R61&gt;0,IF(O61="j",RANK(J61,J$7:J$126,1)-COUNTBLANK(O$7:O$126),""),"")</f>
        <v/>
      </c>
      <c r="J61" s="161">
        <f>IF((O61="j"),U61,U61-1000)</f>
        <v>120</v>
      </c>
      <c r="K61" s="162" t="str">
        <f>IF(R61&gt;0,RANK(U61,U$7:U$126,1),"")</f>
        <v/>
      </c>
      <c r="L61" s="168" t="s">
        <v>250</v>
      </c>
      <c r="M61" s="164" t="s">
        <v>203</v>
      </c>
      <c r="N61" s="165"/>
      <c r="O61" s="166" t="s">
        <v>251</v>
      </c>
      <c r="P61" s="167"/>
      <c r="Q61" s="192" t="s">
        <v>171</v>
      </c>
      <c r="R61" s="154">
        <f>(IF(COUNT(Z61,AA61,AB61,AC61,AD61,AE61,AF61,AG61,AH61,AI61)&lt;10,SUM(Z61,AA61,AB61,AC61,AD61,AE61,AF61,AG61,AH61,AI61),SUM(LARGE((Z61,AA61,AB61,AC61,AD61,AE61,AF61,AG61,AH61,AI61),{1;2;3;4;5;6;7;8;9}))))</f>
        <v>0</v>
      </c>
      <c r="S61" s="193" t="str">
        <f>INDEX(ETAPP!B$1:B$32,MATCH(COUNTIF(BI61:BR61,1),ETAPP!A$1:A$32,0))&amp;INDEX(ETAPP!B$1:B$32,MATCH(COUNTIF(BI61:BR61,2),ETAPP!A$1:A$32,0))&amp;INDEX(ETAPP!B$1:B$32,MATCH(COUNTIF(BI61:BR61,3),ETAPP!A$1:A$32,0))&amp;INDEX(ETAPP!B$1:B$32,MATCH(COUNTIF(BI61:BR61,4),ETAPP!A$1:A$32,0))&amp;INDEX(ETAPP!B$1:B$32,MATCH(COUNTIF(BI61:BR61,5),ETAPP!A$1:A$32,0))&amp;INDEX(ETAPP!B$1:B$32,MATCH(COUNTIF(BI61:BR61,6),ETAPP!A$1:A$32,0))&amp;INDEX(ETAPP!B$1:B$32,MATCH(COUNTIF(BI61:BR61,7),ETAPP!A$1:A$32,0))&amp;INDEX(ETAPP!B$1:B$32,MATCH(COUNTIF(BI61:BR61,8),ETAPP!A$1:A$32,0))&amp;INDEX(ETAPP!B$1:B$32,MATCH(COUNTIF(BI61:BR61,9),ETAPP!A$1:A$32,0))&amp;INDEX(ETAPP!B$1:B$32,MATCH(COUNTIF(BI61:BR61,10),ETAPP!A$1:A$32,0))&amp;INDEX(ETAPP!B$1:B$32,MATCH(COUNTIF(BI61:BR61,11),ETAPP!A$1:A$32,0))&amp;INDEX(ETAPP!B$1:B$32,MATCH(COUNTIF(BI61:BR61,12),ETAPP!A$1:A$32,0))&amp;INDEX(ETAPP!B$1:B$32,MATCH(COUNTIF(BI61:BR61,13),ETAPP!A$1:A$32,0))&amp;INDEX(ETAPP!B$1:B$32,MATCH(COUNTIF(BI61:BR61,14),ETAPP!A$1:A$32,0))&amp;INDEX(ETAPP!B$1:B$32,MATCH(COUNTIF(BI61:BR61,15),ETAPP!A$1:A$32,0))&amp;INDEX(ETAPP!B$1:B$32,MATCH(COUNTIF(BI61:BR61,16),ETAPP!A$1:A$32,0))&amp;INDEX(ETAPP!B$1:B$32,MATCH(COUNTIF(BI61:BR61,17),ETAPP!A$1:A$32,0))&amp;INDEX(ETAPP!B$1:B$32,MATCH(COUNTIF(BI61:BR61,18),ETAPP!A$1:A$32,0))&amp;INDEX(ETAPP!B$1:B$32,MATCH(COUNTIF(BI61:BR61,19),ETAPP!A$1:A$32,0))&amp;INDEX(ETAPP!B$1:B$32,MATCH(COUNTIF(BI61:BR61,20),ETAPP!A$1:A$32,0))&amp;INDEX(ETAPP!B$1:B$32,MATCH(COUNTIF(BI61:BR61,21),ETAPP!A$1:A$32,0))</f>
        <v>000000000000000000000</v>
      </c>
      <c r="T61" s="193" t="str">
        <f>TEXT(R61,"000,0")&amp;"-"&amp;S61</f>
        <v>000,0-000000000000000000000</v>
      </c>
      <c r="U61" s="193">
        <f>COUNTIF(T$7:T$126,"&gt;="&amp;T61)</f>
        <v>120</v>
      </c>
      <c r="V61" s="193">
        <f>COUNTIF(L$7:L$126,"&gt;="&amp;L61)</f>
        <v>117</v>
      </c>
      <c r="W61" s="193" t="str">
        <f>TEXT(R61,"000,0")&amp;"-"&amp;S61&amp;"-"&amp;TEXT(V61,"000")</f>
        <v>000,0-000000000000000000000-117</v>
      </c>
      <c r="X61" s="193">
        <f>COUNTIF(W$7:W$126,"&gt;="&amp;W61)</f>
        <v>55</v>
      </c>
      <c r="Y61" s="201">
        <f>RANK(X61,X$7:X$126,0)</f>
        <v>66</v>
      </c>
      <c r="Z61" s="202" t="str">
        <f>IFERROR(INDEX('V1'!C$300:C$400,MATCH("*"&amp;L61&amp;"*",'V1'!B$300:B$400,0)),"  ")</f>
        <v>  </v>
      </c>
      <c r="AA61" s="202" t="str">
        <f>IFERROR(INDEX('V2'!C$300:C$400,MATCH("*"&amp;L61&amp;"*",'V2'!B$300:B$400,0)),"  ")</f>
        <v>  </v>
      </c>
      <c r="AB61" s="202" t="str">
        <f>IFERROR(INDEX('V3'!C$300:C$400,MATCH("*"&amp;L61&amp;"*",'V3'!B$300:B$400,0)),"  ")</f>
        <v>  </v>
      </c>
      <c r="AC61" s="202" t="str">
        <f>IFERROR(INDEX('V4'!C$300:C$400,MATCH("*"&amp;L61&amp;"*",'V4'!B$300:B$400,0)),"  ")</f>
        <v>  </v>
      </c>
      <c r="AD61" s="202" t="str">
        <f>IFERROR(INDEX('V5'!C$300:C$400,MATCH("*"&amp;L61&amp;"*",'V5'!B$300:B$400,0)),"  ")</f>
        <v>  </v>
      </c>
      <c r="AE61" s="202" t="str">
        <f>IFERROR(INDEX('V6'!C$300:C$400,MATCH("*"&amp;L61&amp;"*",'V6'!B$300:B$400,0)),"  ")</f>
        <v>  </v>
      </c>
      <c r="AF61" s="202" t="str">
        <f>IFERROR(INDEX('V7'!C$300:C$400,MATCH("*"&amp;L61&amp;"*",'V7'!B$300:B$400,0)),"  ")</f>
        <v>  </v>
      </c>
      <c r="AG61" s="202" t="str">
        <f>IFERROR(INDEX('V8'!C$300:C$400,MATCH("*"&amp;L61&amp;"*",'V8'!B$300:B$400,0)),"  ")</f>
        <v>  </v>
      </c>
      <c r="AH61" s="202"/>
      <c r="AI61" s="202"/>
      <c r="AJ61" s="222" t="str">
        <f>IF(AN61&gt;(AT$2-1),K61,"")</f>
        <v/>
      </c>
      <c r="AK61" s="223">
        <f>SUM(Z61:AI61)</f>
        <v>0</v>
      </c>
      <c r="AL61" s="224" t="str">
        <f>IFERROR("edasi "&amp;RANK(AJ61,AJ$7:AJ$126,1),K61)</f>
        <v/>
      </c>
      <c r="AM61" s="225" t="str">
        <f>IFERROR(INDEX(#REF!,MATCH("*"&amp;L61&amp;"*",#REF!,0)),"  ")</f>
        <v>  </v>
      </c>
      <c r="AN61" s="226">
        <f>COUNTIF(Z61:AI61,"&gt;=0")</f>
        <v>0</v>
      </c>
      <c r="AO61" s="126">
        <f>IFERROR(IF(Z61+1&gt;LARGE(Z$7:Z$126,1)-2*LEN(Z$5),1),0)+IFERROR(IF(AA61+1&gt;LARGE(AA$7:AA$126,1)-2*LEN(AA$5),1),0)+IFERROR(IF(AB61+1&gt;LARGE(AB$7:AB$126,1)-2*LEN(AB$5),1),0)+IFERROR(IF(AC61+1&gt;LARGE(AC$7:AC$126,1)-2*LEN(AC$5),1),0)+IFERROR(IF(AD61+1&gt;LARGE(AD$7:AD$126,1)-2*LEN(AD$5),1),0)+IFERROR(IF(AE61+1&gt;LARGE(AE$7:AE$126,1)-2*LEN(AE$5),1),0)+IFERROR(IF(AF61+1&gt;LARGE(AF$7:AF$126,1)-2*LEN(AF$5),1),0)+IFERROR(IF(AG61+1&gt;LARGE(AG$7:AG$126,1)-2*LEN(AG$5),1),0)+IFERROR(IF(AH61+1&gt;LARGE(AH$7:AH$126,1)-2*LEN(AH$5),1),0)+IFERROR(IF(AI61+1&gt;LARGE(AI$7:AI$126,1)-2*LEN(AI$5),1),0)</f>
        <v>0</v>
      </c>
      <c r="AP61" s="126">
        <f>IF(Z61=0,0,IF(Z61=IFERROR(LARGE(Z$7:Z$126,1),0),1,0))+IF(AA61=0,0,IF(AA61=IFERROR(LARGE(AA$7:AA$126,1),0),1,0))+IF(AB61=0,0,IF(AB61=IFERROR(LARGE(AB$7:AB$126,1),0),1,0))+IF(AC61=0,0,IF(AC61=IFERROR(LARGE(AC$7:AC$126,1),0),1,0))+IF(AD61=0,0,IF(AD61=IFERROR(LARGE(AD$7:AD$126,1),0),1,0))+IF(AE61=0,0,IF(AE61=IFERROR(LARGE(AE$7:AE$126,1),0),1,0))+IF(AF61=0,0,IF(AF61=IFERROR(LARGE(AF$7:AF$126,1),0),1,0))+IF(AG61=0,0,IF(AG61=IFERROR(LARGE(AG$7:AG$126,1),0),1,0))+IF(AH61=0,0,IF(AH61=IFERROR(LARGE(AH$7:AH$126,1),0),1,0))+IF(AI61=0,0,IF(AI61=IFERROR(LARGE(AI$7:AI$126,1),0),1,0))</f>
        <v>0</v>
      </c>
      <c r="AQ61" s="233"/>
      <c r="AR61" s="233"/>
      <c r="AS61" s="233"/>
      <c r="AT61" s="234">
        <f>SMALL(AU61:BD61,AT$3)</f>
        <v>0.0001</v>
      </c>
      <c r="AU61" s="235">
        <f>IF(Z61="  ",0+MID(Z$6,FIND("V",Z$6)+1,256)/10000,Z61+MID(Z$6,FIND("V",Z$6)+1,256)/10000)</f>
        <v>0.0001</v>
      </c>
      <c r="AV61" s="235">
        <f>IF(AA61="  ",0+MID(AA$6,FIND("V",AA$6)+1,256)/10000,AA61+MID(AA$6,FIND("V",AA$6)+1,256)/10000)</f>
        <v>0.0002</v>
      </c>
      <c r="AW61" s="235">
        <f>IF(AB61="  ",0+MID(AB$6,FIND("V",AB$6)+1,256)/10000,AB61+MID(AB$6,FIND("V",AB$6)+1,256)/10000)</f>
        <v>0.0003</v>
      </c>
      <c r="AX61" s="235">
        <f>IF(AC61="  ",0+MID(AC$6,FIND("V",AC$6)+1,256)/10000,AC61+MID(AC$6,FIND("V",AC$6)+1,256)/10000)</f>
        <v>0.0004</v>
      </c>
      <c r="AY61" s="235">
        <f>IF(AD61="  ",0+MID(AD$6,FIND("V",AD$6)+1,256)/10000,AD61+MID(AD$6,FIND("V",AD$6)+1,256)/10000)</f>
        <v>0.0005</v>
      </c>
      <c r="AZ61" s="235">
        <f>IF(AE61="  ",0+MID(AE$6,FIND("V",AE$6)+1,256)/10000,AE61+MID(AE$6,FIND("V",AE$6)+1,256)/10000)</f>
        <v>0.0006</v>
      </c>
      <c r="BA61" s="235">
        <f>IF(AF61="  ",0+MID(AF$6,FIND("V",AF$6)+1,256)/10000,AF61+MID(AF$6,FIND("V",AF$6)+1,256)/10000)</f>
        <v>0.0007</v>
      </c>
      <c r="BB61" s="235">
        <f>IF(AG61="  ",0+MID(AG$6,FIND("V",AG$6)+1,256)/10000,AG61+MID(AG$6,FIND("V",AG$6)+1,256)/10000)</f>
        <v>0.0008</v>
      </c>
      <c r="BC61" s="235">
        <f>IF(AH61="  ",0+MID(AH$6,FIND("V",AH$6)+1,256)/10000,AH61+MID(AH$6,FIND("V",AH$6)+1,256)/10000)</f>
        <v>0.0009</v>
      </c>
      <c r="BD61" s="235">
        <f>IF(AI61="  ",0+MID(AI$6,FIND("V",AI$6)+1,256)/10000,AI61+MID(AI$6,FIND("V",AI$6)+1,256)/10000)</f>
        <v>0.001</v>
      </c>
      <c r="BE61" s="233"/>
      <c r="BF61" s="233"/>
      <c r="BG61" s="233"/>
      <c r="BH61" s="233"/>
      <c r="BI61" s="3" t="e">
        <f>(LARGE(Z$7:Z$126,1)-Z61)/2+1</f>
        <v>#VALUE!</v>
      </c>
      <c r="BJ61" s="3" t="e">
        <f>(LARGE(AA$7:AA$126,1)-AA61)/2+1</f>
        <v>#VALUE!</v>
      </c>
      <c r="BK61" s="3" t="e">
        <f>(LARGE(AB$7:AB$126,1)-AB61)/2+1</f>
        <v>#VALUE!</v>
      </c>
      <c r="BL61" s="3" t="e">
        <f>(LARGE(AC$7:AC$126,1)-AC61)/2+1</f>
        <v>#VALUE!</v>
      </c>
      <c r="BM61" s="3" t="e">
        <f>(LARGE(AD$7:AD$126,1)-AD61)/2+1</f>
        <v>#VALUE!</v>
      </c>
      <c r="BN61" s="3" t="e">
        <f>(LARGE(AE$7:AE$126,1)-AE61)/2+1</f>
        <v>#VALUE!</v>
      </c>
      <c r="BO61" s="3" t="e">
        <f>(LARGE(AF$7:AF$126,1)-AF61)/2+1</f>
        <v>#VALUE!</v>
      </c>
      <c r="BP61" s="3" t="e">
        <f>(LARGE(AG$7:AG$126,1)-AG61)/2+1</f>
        <v>#VALUE!</v>
      </c>
      <c r="BQ61" s="3" t="e">
        <f>(LARGE(AH$7:AH$126,1)-AH61)/2+1</f>
        <v>#NUM!</v>
      </c>
      <c r="BR61" s="3" t="e">
        <f>(LARGE(AI$7:AI$126,1)-AI61)/2+1</f>
        <v>#NUM!</v>
      </c>
    </row>
    <row r="62" ht="12.75" hidden="1" customHeight="1" spans="1:70">
      <c r="A62" s="139" t="str">
        <f>IF(R62&gt;0,IF(Q62="Viru SK",RANK(B62,B$7:B$126,1)-COUNTIF((Q$7:Q$126),"&lt;&gt;Viru SK"),""),"")</f>
        <v/>
      </c>
      <c r="B62" s="140">
        <f>IF((Q62="Viru SK"),U62,U62-1000)</f>
        <v>-880</v>
      </c>
      <c r="C62" s="141" t="str">
        <f>IF(R62&gt;0,IF(P62="t",RANK(D62,D$7:D$126,1)-COUNTBLANK(P$7:P$126),""),"")</f>
        <v/>
      </c>
      <c r="D62" s="142">
        <f>IF((P62="t"),U62,U62-1000)</f>
        <v>-880</v>
      </c>
      <c r="E62" s="143" t="str">
        <f>IF(R62&gt;0,IF(N62="m",RANK(F62,F$7:F$126,1)-COUNTBLANK(N$7:N$126),""),"")</f>
        <v/>
      </c>
      <c r="F62" s="144">
        <f>IF((N62="m"),U62,U62-1000)</f>
        <v>-880</v>
      </c>
      <c r="G62" s="145" t="str">
        <f>IF(R62&gt;0,IF(M62="n",RANK(H62,H$7:H$126,1)-COUNTBLANK(M$7:M$126),""),"")</f>
        <v/>
      </c>
      <c r="H62" s="144">
        <f>IF((M62="n"),U62,U62-1000)</f>
        <v>-880</v>
      </c>
      <c r="I62" s="160" t="str">
        <f>IF(R62&gt;0,IF(O62="j",RANK(J62,J$7:J$126,1)-COUNTBLANK(O$7:O$126),""),"")</f>
        <v/>
      </c>
      <c r="J62" s="161">
        <f>IF((O62="j"),U62,U62-1000)</f>
        <v>-880</v>
      </c>
      <c r="K62" s="162" t="str">
        <f>IF(R62&gt;0,RANK(U62,U$7:U$126,1),"")</f>
        <v/>
      </c>
      <c r="L62" s="163" t="s">
        <v>252</v>
      </c>
      <c r="M62" s="164"/>
      <c r="N62" s="165"/>
      <c r="O62" s="166"/>
      <c r="P62" s="167"/>
      <c r="Q62" s="192"/>
      <c r="R62" s="154">
        <f>(IF(COUNT(Z62,AA62,AB62,AC62,AD62,AE62,AF62,AG62,AH62,AI62)&lt;10,SUM(Z62,AA62,AB62,AC62,AD62,AE62,AF62,AG62,AH62,AI62),SUM(LARGE((Z62,AA62,AB62,AC62,AD62,AE62,AF62,AG62,AH62,AI62),{1;2;3;4;5;6;7;8;9}))))</f>
        <v>0</v>
      </c>
      <c r="S62" s="193" t="str">
        <f>INDEX(ETAPP!B$1:B$32,MATCH(COUNTIF(BI62:BR62,1),ETAPP!A$1:A$32,0))&amp;INDEX(ETAPP!B$1:B$32,MATCH(COUNTIF(BI62:BR62,2),ETAPP!A$1:A$32,0))&amp;INDEX(ETAPP!B$1:B$32,MATCH(COUNTIF(BI62:BR62,3),ETAPP!A$1:A$32,0))&amp;INDEX(ETAPP!B$1:B$32,MATCH(COUNTIF(BI62:BR62,4),ETAPP!A$1:A$32,0))&amp;INDEX(ETAPP!B$1:B$32,MATCH(COUNTIF(BI62:BR62,5),ETAPP!A$1:A$32,0))&amp;INDEX(ETAPP!B$1:B$32,MATCH(COUNTIF(BI62:BR62,6),ETAPP!A$1:A$32,0))&amp;INDEX(ETAPP!B$1:B$32,MATCH(COUNTIF(BI62:BR62,7),ETAPP!A$1:A$32,0))&amp;INDEX(ETAPP!B$1:B$32,MATCH(COUNTIF(BI62:BR62,8),ETAPP!A$1:A$32,0))&amp;INDEX(ETAPP!B$1:B$32,MATCH(COUNTIF(BI62:BR62,9),ETAPP!A$1:A$32,0))&amp;INDEX(ETAPP!B$1:B$32,MATCH(COUNTIF(BI62:BR62,10),ETAPP!A$1:A$32,0))&amp;INDEX(ETAPP!B$1:B$32,MATCH(COUNTIF(BI62:BR62,11),ETAPP!A$1:A$32,0))&amp;INDEX(ETAPP!B$1:B$32,MATCH(COUNTIF(BI62:BR62,12),ETAPP!A$1:A$32,0))&amp;INDEX(ETAPP!B$1:B$32,MATCH(COUNTIF(BI62:BR62,13),ETAPP!A$1:A$32,0))&amp;INDEX(ETAPP!B$1:B$32,MATCH(COUNTIF(BI62:BR62,14),ETAPP!A$1:A$32,0))&amp;INDEX(ETAPP!B$1:B$32,MATCH(COUNTIF(BI62:BR62,15),ETAPP!A$1:A$32,0))&amp;INDEX(ETAPP!B$1:B$32,MATCH(COUNTIF(BI62:BR62,16),ETAPP!A$1:A$32,0))&amp;INDEX(ETAPP!B$1:B$32,MATCH(COUNTIF(BI62:BR62,17),ETAPP!A$1:A$32,0))&amp;INDEX(ETAPP!B$1:B$32,MATCH(COUNTIF(BI62:BR62,18),ETAPP!A$1:A$32,0))&amp;INDEX(ETAPP!B$1:B$32,MATCH(COUNTIF(BI62:BR62,19),ETAPP!A$1:A$32,0))&amp;INDEX(ETAPP!B$1:B$32,MATCH(COUNTIF(BI62:BR62,20),ETAPP!A$1:A$32,0))&amp;INDEX(ETAPP!B$1:B$32,MATCH(COUNTIF(BI62:BR62,21),ETAPP!A$1:A$32,0))</f>
        <v>000000000000000000000</v>
      </c>
      <c r="T62" s="193" t="str">
        <f>TEXT(R62,"000,0")&amp;"-"&amp;S62</f>
        <v>000,0-000000000000000000000</v>
      </c>
      <c r="U62" s="193">
        <f>COUNTIF(T$7:T$126,"&gt;="&amp;T62)</f>
        <v>120</v>
      </c>
      <c r="V62" s="193">
        <f>COUNTIF(L$7:L$126,"&gt;="&amp;L62)</f>
        <v>116</v>
      </c>
      <c r="W62" s="193" t="str">
        <f>TEXT(R62,"000,0")&amp;"-"&amp;S62&amp;"-"&amp;TEXT(V62,"000")</f>
        <v>000,0-000000000000000000000-116</v>
      </c>
      <c r="X62" s="193">
        <f>COUNTIF(W$7:W$126,"&gt;="&amp;W62)</f>
        <v>56</v>
      </c>
      <c r="Y62" s="201">
        <f>RANK(X62,X$7:X$126,0)</f>
        <v>65</v>
      </c>
      <c r="Z62" s="202" t="str">
        <f>IFERROR(INDEX('V1'!C$300:C$400,MATCH("*"&amp;L62&amp;"*",'V1'!B$300:B$400,0)),"  ")</f>
        <v>  </v>
      </c>
      <c r="AA62" s="202" t="str">
        <f>IFERROR(INDEX('V2'!C$300:C$400,MATCH("*"&amp;L62&amp;"*",'V2'!B$300:B$400,0)),"  ")</f>
        <v>  </v>
      </c>
      <c r="AB62" s="202" t="str">
        <f>IFERROR(INDEX('V3'!C$300:C$400,MATCH("*"&amp;L62&amp;"*",'V3'!B$300:B$400,0)),"  ")</f>
        <v>  </v>
      </c>
      <c r="AC62" s="202" t="str">
        <f>IFERROR(INDEX('V4'!C$300:C$400,MATCH("*"&amp;L62&amp;"*",'V4'!B$300:B$400,0)),"  ")</f>
        <v>  </v>
      </c>
      <c r="AD62" s="202" t="str">
        <f>IFERROR(INDEX('V5'!C$300:C$400,MATCH("*"&amp;L62&amp;"*",'V5'!B$300:B$400,0)),"  ")</f>
        <v>  </v>
      </c>
      <c r="AE62" s="202" t="str">
        <f>IFERROR(INDEX('V6'!C$300:C$400,MATCH("*"&amp;L62&amp;"*",'V6'!B$300:B$400,0)),"  ")</f>
        <v>  </v>
      </c>
      <c r="AF62" s="202" t="str">
        <f>IFERROR(INDEX('V7'!C$300:C$400,MATCH("*"&amp;L62&amp;"*",'V7'!B$300:B$400,0)),"  ")</f>
        <v>  </v>
      </c>
      <c r="AG62" s="202" t="str">
        <f>IFERROR(INDEX('V8'!C$300:C$400,MATCH("*"&amp;L62&amp;"*",'V8'!B$300:B$400,0)),"  ")</f>
        <v>  </v>
      </c>
      <c r="AH62" s="202"/>
      <c r="AI62" s="202"/>
      <c r="AJ62" s="222" t="str">
        <f>IF(AN62&gt;(AT$2-1),K62,"")</f>
        <v/>
      </c>
      <c r="AK62" s="223">
        <f>SUM(Z62:AI62)</f>
        <v>0</v>
      </c>
      <c r="AL62" s="224" t="str">
        <f>IFERROR("edasi "&amp;RANK(AJ62,AJ$7:AJ$126,1),K62)</f>
        <v/>
      </c>
      <c r="AM62" s="225" t="str">
        <f>IFERROR(INDEX(#REF!,MATCH("*"&amp;L62&amp;"*",#REF!,0)),"  ")</f>
        <v>  </v>
      </c>
      <c r="AN62" s="226">
        <f>COUNTIF(Z62:AI62,"&gt;=0")</f>
        <v>0</v>
      </c>
      <c r="AO62" s="126">
        <f>IFERROR(IF(Z62+1&gt;LARGE(Z$7:Z$126,1)-2*LEN(Z$5),1),0)+IFERROR(IF(AA62+1&gt;LARGE(AA$7:AA$126,1)-2*LEN(AA$5),1),0)+IFERROR(IF(AB62+1&gt;LARGE(AB$7:AB$126,1)-2*LEN(AB$5),1),0)+IFERROR(IF(AC62+1&gt;LARGE(AC$7:AC$126,1)-2*LEN(AC$5),1),0)+IFERROR(IF(AD62+1&gt;LARGE(AD$7:AD$126,1)-2*LEN(AD$5),1),0)+IFERROR(IF(AE62+1&gt;LARGE(AE$7:AE$126,1)-2*LEN(AE$5),1),0)+IFERROR(IF(AF62+1&gt;LARGE(AF$7:AF$126,1)-2*LEN(AF$5),1),0)+IFERROR(IF(AG62+1&gt;LARGE(AG$7:AG$126,1)-2*LEN(AG$5),1),0)+IFERROR(IF(AH62+1&gt;LARGE(AH$7:AH$126,1)-2*LEN(AH$5),1),0)+IFERROR(IF(AI62+1&gt;LARGE(AI$7:AI$126,1)-2*LEN(AI$5),1),0)</f>
        <v>0</v>
      </c>
      <c r="AP62" s="126">
        <f>IF(Z62=0,0,IF(Z62=IFERROR(LARGE(Z$7:Z$126,1),0),1,0))+IF(AA62=0,0,IF(AA62=IFERROR(LARGE(AA$7:AA$126,1),0),1,0))+IF(AB62=0,0,IF(AB62=IFERROR(LARGE(AB$7:AB$126,1),0),1,0))+IF(AC62=0,0,IF(AC62=IFERROR(LARGE(AC$7:AC$126,1),0),1,0))+IF(AD62=0,0,IF(AD62=IFERROR(LARGE(AD$7:AD$126,1),0),1,0))+IF(AE62=0,0,IF(AE62=IFERROR(LARGE(AE$7:AE$126,1),0),1,0))+IF(AF62=0,0,IF(AF62=IFERROR(LARGE(AF$7:AF$126,1),0),1,0))+IF(AG62=0,0,IF(AG62=IFERROR(LARGE(AG$7:AG$126,1),0),1,0))+IF(AH62=0,0,IF(AH62=IFERROR(LARGE(AH$7:AH$126,1),0),1,0))+IF(AI62=0,0,IF(AI62=IFERROR(LARGE(AI$7:AI$126,1),0),1,0))</f>
        <v>0</v>
      </c>
      <c r="AQ62" s="233"/>
      <c r="AR62" s="233"/>
      <c r="AS62" s="233"/>
      <c r="AT62" s="234">
        <f>SMALL(AU62:BD62,AT$3)</f>
        <v>0.0001</v>
      </c>
      <c r="AU62" s="235">
        <f>IF(Z62="  ",0+MID(Z$6,FIND("V",Z$6)+1,256)/10000,Z62+MID(Z$6,FIND("V",Z$6)+1,256)/10000)</f>
        <v>0.0001</v>
      </c>
      <c r="AV62" s="235">
        <f>IF(AA62="  ",0+MID(AA$6,FIND("V",AA$6)+1,256)/10000,AA62+MID(AA$6,FIND("V",AA$6)+1,256)/10000)</f>
        <v>0.0002</v>
      </c>
      <c r="AW62" s="235">
        <f>IF(AB62="  ",0+MID(AB$6,FIND("V",AB$6)+1,256)/10000,AB62+MID(AB$6,FIND("V",AB$6)+1,256)/10000)</f>
        <v>0.0003</v>
      </c>
      <c r="AX62" s="235">
        <f>IF(AC62="  ",0+MID(AC$6,FIND("V",AC$6)+1,256)/10000,AC62+MID(AC$6,FIND("V",AC$6)+1,256)/10000)</f>
        <v>0.0004</v>
      </c>
      <c r="AY62" s="235">
        <f>IF(AD62="  ",0+MID(AD$6,FIND("V",AD$6)+1,256)/10000,AD62+MID(AD$6,FIND("V",AD$6)+1,256)/10000)</f>
        <v>0.0005</v>
      </c>
      <c r="AZ62" s="235">
        <f>IF(AE62="  ",0+MID(AE$6,FIND("V",AE$6)+1,256)/10000,AE62+MID(AE$6,FIND("V",AE$6)+1,256)/10000)</f>
        <v>0.0006</v>
      </c>
      <c r="BA62" s="235">
        <f>IF(AF62="  ",0+MID(AF$6,FIND("V",AF$6)+1,256)/10000,AF62+MID(AF$6,FIND("V",AF$6)+1,256)/10000)</f>
        <v>0.0007</v>
      </c>
      <c r="BB62" s="235">
        <f>IF(AG62="  ",0+MID(AG$6,FIND("V",AG$6)+1,256)/10000,AG62+MID(AG$6,FIND("V",AG$6)+1,256)/10000)</f>
        <v>0.0008</v>
      </c>
      <c r="BC62" s="235">
        <f>IF(AH62="  ",0+MID(AH$6,FIND("V",AH$6)+1,256)/10000,AH62+MID(AH$6,FIND("V",AH$6)+1,256)/10000)</f>
        <v>0.0009</v>
      </c>
      <c r="BD62" s="235">
        <f>IF(AI62="  ",0+MID(AI$6,FIND("V",AI$6)+1,256)/10000,AI62+MID(AI$6,FIND("V",AI$6)+1,256)/10000)</f>
        <v>0.001</v>
      </c>
      <c r="BE62" s="233"/>
      <c r="BF62" s="233"/>
      <c r="BG62" s="233"/>
      <c r="BH62" s="233"/>
      <c r="BI62" s="3" t="e">
        <f>(LARGE(Z$7:Z$126,1)-Z62)/2+1</f>
        <v>#VALUE!</v>
      </c>
      <c r="BJ62" s="3" t="e">
        <f>(LARGE(AA$7:AA$126,1)-AA62)/2+1</f>
        <v>#VALUE!</v>
      </c>
      <c r="BK62" s="3" t="e">
        <f>(LARGE(AB$7:AB$126,1)-AB62)/2+1</f>
        <v>#VALUE!</v>
      </c>
      <c r="BL62" s="3" t="e">
        <f>(LARGE(AC$7:AC$126,1)-AC62)/2+1</f>
        <v>#VALUE!</v>
      </c>
      <c r="BM62" s="3" t="e">
        <f>(LARGE(AD$7:AD$126,1)-AD62)/2+1</f>
        <v>#VALUE!</v>
      </c>
      <c r="BN62" s="3" t="e">
        <f>(LARGE(AE$7:AE$126,1)-AE62)/2+1</f>
        <v>#VALUE!</v>
      </c>
      <c r="BO62" s="3" t="e">
        <f>(LARGE(AF$7:AF$126,1)-AF62)/2+1</f>
        <v>#VALUE!</v>
      </c>
      <c r="BP62" s="3" t="e">
        <f>(LARGE(AG$7:AG$126,1)-AG62)/2+1</f>
        <v>#VALUE!</v>
      </c>
      <c r="BQ62" s="3" t="e">
        <f>(LARGE(AH$7:AH$126,1)-AH62)/2+1</f>
        <v>#NUM!</v>
      </c>
      <c r="BR62" s="3" t="e">
        <f>(LARGE(AI$7:AI$126,1)-AI62)/2+1</f>
        <v>#NUM!</v>
      </c>
    </row>
    <row r="63" ht="12.75" hidden="1" customHeight="1" spans="1:70">
      <c r="A63" s="139" t="str">
        <f>IF(R63&gt;0,IF(Q63="Viru SK",RANK(B63,B$7:B$126,1)-COUNTIF((Q$7:Q$126),"&lt;&gt;Viru SK"),""),"")</f>
        <v/>
      </c>
      <c r="B63" s="140">
        <f>IF((Q63="Viru SK"),U63,U63-1000)</f>
        <v>-880</v>
      </c>
      <c r="C63" s="141" t="str">
        <f>IF(R63&gt;0,IF(P63="t",RANK(D63,D$7:D$126,1)-COUNTBLANK(P$7:P$126),""),"")</f>
        <v/>
      </c>
      <c r="D63" s="142">
        <f>IF((P63="t"),U63,U63-1000)</f>
        <v>-880</v>
      </c>
      <c r="E63" s="143" t="str">
        <f>IF(R63&gt;0,IF(N63="m",RANK(F63,F$7:F$126,1)-COUNTBLANK(N$7:N$126),""),"")</f>
        <v/>
      </c>
      <c r="F63" s="144">
        <f>IF((N63="m"),U63,U63-1000)</f>
        <v>120</v>
      </c>
      <c r="G63" s="145" t="str">
        <f>IF(R63&gt;0,IF(M63="n",RANK(H63,H$7:H$126,1)-COUNTBLANK(M$7:M$126),""),"")</f>
        <v/>
      </c>
      <c r="H63" s="144">
        <f>IF((M63="n"),U63,U63-1000)</f>
        <v>-880</v>
      </c>
      <c r="I63" s="160" t="str">
        <f>IF(R63&gt;0,IF(O63="j",RANK(J63,J$7:J$126,1)-COUNTBLANK(O$7:O$126),""),"")</f>
        <v/>
      </c>
      <c r="J63" s="161">
        <f>IF((O63="j"),U63,U63-1000)</f>
        <v>-880</v>
      </c>
      <c r="K63" s="162" t="str">
        <f>IF(R63&gt;0,RANK(U63,U$7:U$126,1),"")</f>
        <v/>
      </c>
      <c r="L63" s="168" t="s">
        <v>253</v>
      </c>
      <c r="M63" s="164"/>
      <c r="N63" s="165" t="s">
        <v>193</v>
      </c>
      <c r="O63" s="166"/>
      <c r="P63" s="167"/>
      <c r="Q63" s="192" t="s">
        <v>198</v>
      </c>
      <c r="R63" s="154">
        <f>(IF(COUNT(Z63,AA63,AB63,AC63,AD63,AE63,AF63,AG63,AH63,AI63)&lt;10,SUM(Z63,AA63,AB63,AC63,AD63,AE63,AF63,AG63,AH63,AI63),SUM(LARGE((Z63,AA63,AB63,AC63,AD63,AE63,AF63,AG63,AH63,AI63),{1;2;3;4;5;6;7;8;9}))))</f>
        <v>0</v>
      </c>
      <c r="S63" s="193" t="str">
        <f>INDEX(ETAPP!B$1:B$32,MATCH(COUNTIF(BI63:BR63,1),ETAPP!A$1:A$32,0))&amp;INDEX(ETAPP!B$1:B$32,MATCH(COUNTIF(BI63:BR63,2),ETAPP!A$1:A$32,0))&amp;INDEX(ETAPP!B$1:B$32,MATCH(COUNTIF(BI63:BR63,3),ETAPP!A$1:A$32,0))&amp;INDEX(ETAPP!B$1:B$32,MATCH(COUNTIF(BI63:BR63,4),ETAPP!A$1:A$32,0))&amp;INDEX(ETAPP!B$1:B$32,MATCH(COUNTIF(BI63:BR63,5),ETAPP!A$1:A$32,0))&amp;INDEX(ETAPP!B$1:B$32,MATCH(COUNTIF(BI63:BR63,6),ETAPP!A$1:A$32,0))&amp;INDEX(ETAPP!B$1:B$32,MATCH(COUNTIF(BI63:BR63,7),ETAPP!A$1:A$32,0))&amp;INDEX(ETAPP!B$1:B$32,MATCH(COUNTIF(BI63:BR63,8),ETAPP!A$1:A$32,0))&amp;INDEX(ETAPP!B$1:B$32,MATCH(COUNTIF(BI63:BR63,9),ETAPP!A$1:A$32,0))&amp;INDEX(ETAPP!B$1:B$32,MATCH(COUNTIF(BI63:BR63,10),ETAPP!A$1:A$32,0))&amp;INDEX(ETAPP!B$1:B$32,MATCH(COUNTIF(BI63:BR63,11),ETAPP!A$1:A$32,0))&amp;INDEX(ETAPP!B$1:B$32,MATCH(COUNTIF(BI63:BR63,12),ETAPP!A$1:A$32,0))&amp;INDEX(ETAPP!B$1:B$32,MATCH(COUNTIF(BI63:BR63,13),ETAPP!A$1:A$32,0))&amp;INDEX(ETAPP!B$1:B$32,MATCH(COUNTIF(BI63:BR63,14),ETAPP!A$1:A$32,0))&amp;INDEX(ETAPP!B$1:B$32,MATCH(COUNTIF(BI63:BR63,15),ETAPP!A$1:A$32,0))&amp;INDEX(ETAPP!B$1:B$32,MATCH(COUNTIF(BI63:BR63,16),ETAPP!A$1:A$32,0))&amp;INDEX(ETAPP!B$1:B$32,MATCH(COUNTIF(BI63:BR63,17),ETAPP!A$1:A$32,0))&amp;INDEX(ETAPP!B$1:B$32,MATCH(COUNTIF(BI63:BR63,18),ETAPP!A$1:A$32,0))&amp;INDEX(ETAPP!B$1:B$32,MATCH(COUNTIF(BI63:BR63,19),ETAPP!A$1:A$32,0))&amp;INDEX(ETAPP!B$1:B$32,MATCH(COUNTIF(BI63:BR63,20),ETAPP!A$1:A$32,0))&amp;INDEX(ETAPP!B$1:B$32,MATCH(COUNTIF(BI63:BR63,21),ETAPP!A$1:A$32,0))</f>
        <v>000000000000000000000</v>
      </c>
      <c r="T63" s="193" t="str">
        <f>TEXT(R63,"000,0")&amp;"-"&amp;S63</f>
        <v>000,0-000000000000000000000</v>
      </c>
      <c r="U63" s="193">
        <f>COUNTIF(T$7:T$126,"&gt;="&amp;T63)</f>
        <v>120</v>
      </c>
      <c r="V63" s="193">
        <f>COUNTIF(L$7:L$126,"&gt;="&amp;L63)</f>
        <v>115</v>
      </c>
      <c r="W63" s="193" t="str">
        <f>TEXT(R63,"000,0")&amp;"-"&amp;S63&amp;"-"&amp;TEXT(V63,"000")</f>
        <v>000,0-000000000000000000000-115</v>
      </c>
      <c r="X63" s="193">
        <f>COUNTIF(W$7:W$126,"&gt;="&amp;W63)</f>
        <v>57</v>
      </c>
      <c r="Y63" s="201">
        <f>RANK(X63,X$7:X$126,0)</f>
        <v>64</v>
      </c>
      <c r="Z63" s="202" t="str">
        <f>IFERROR(INDEX('V1'!C$300:C$400,MATCH("*"&amp;L63&amp;"*",'V1'!B$300:B$400,0)),"  ")</f>
        <v>  </v>
      </c>
      <c r="AA63" s="202" t="str">
        <f>IFERROR(INDEX('V2'!C$300:C$400,MATCH("*"&amp;L63&amp;"*",'V2'!B$300:B$400,0)),"  ")</f>
        <v>  </v>
      </c>
      <c r="AB63" s="202" t="str">
        <f>IFERROR(INDEX('V3'!C$300:C$400,MATCH("*"&amp;L63&amp;"*",'V3'!B$300:B$400,0)),"  ")</f>
        <v>  </v>
      </c>
      <c r="AC63" s="202" t="str">
        <f>IFERROR(INDEX('V4'!C$300:C$400,MATCH("*"&amp;L63&amp;"*",'V4'!B$300:B$400,0)),"  ")</f>
        <v>  </v>
      </c>
      <c r="AD63" s="202" t="str">
        <f>IFERROR(INDEX('V5'!C$300:C$400,MATCH("*"&amp;L63&amp;"*",'V5'!B$300:B$400,0)),"  ")</f>
        <v>  </v>
      </c>
      <c r="AE63" s="202" t="str">
        <f>IFERROR(INDEX('V6'!C$300:C$400,MATCH("*"&amp;L63&amp;"*",'V6'!B$300:B$400,0)),"  ")</f>
        <v>  </v>
      </c>
      <c r="AF63" s="202" t="str">
        <f>IFERROR(INDEX('V7'!C$300:C$400,MATCH("*"&amp;L63&amp;"*",'V7'!B$300:B$400,0)),"  ")</f>
        <v>  </v>
      </c>
      <c r="AG63" s="202" t="str">
        <f>IFERROR(INDEX('V8'!C$300:C$400,MATCH("*"&amp;L63&amp;"*",'V8'!B$300:B$400,0)),"  ")</f>
        <v>  </v>
      </c>
      <c r="AH63" s="202"/>
      <c r="AI63" s="202"/>
      <c r="AJ63" s="222" t="str">
        <f>IF(AN63&gt;(AT$2-1),K63,"")</f>
        <v/>
      </c>
      <c r="AK63" s="223">
        <f>SUM(Z63:AI63)</f>
        <v>0</v>
      </c>
      <c r="AL63" s="224" t="str">
        <f>IFERROR("edasi "&amp;RANK(AJ63,AJ$7:AJ$126,1),K63)</f>
        <v/>
      </c>
      <c r="AM63" s="225" t="str">
        <f>IFERROR(INDEX(#REF!,MATCH("*"&amp;L63&amp;"*",#REF!,0)),"  ")</f>
        <v>  </v>
      </c>
      <c r="AN63" s="226">
        <f>COUNTIF(Z63:AI63,"&gt;=0")</f>
        <v>0</v>
      </c>
      <c r="AO63" s="126">
        <f>IFERROR(IF(Z63+1&gt;LARGE(Z$7:Z$126,1)-2*LEN(Z$5),1),0)+IFERROR(IF(AA63+1&gt;LARGE(AA$7:AA$126,1)-2*LEN(AA$5),1),0)+IFERROR(IF(AB63+1&gt;LARGE(AB$7:AB$126,1)-2*LEN(AB$5),1),0)+IFERROR(IF(AC63+1&gt;LARGE(AC$7:AC$126,1)-2*LEN(AC$5),1),0)+IFERROR(IF(AD63+1&gt;LARGE(AD$7:AD$126,1)-2*LEN(AD$5),1),0)+IFERROR(IF(AE63+1&gt;LARGE(AE$7:AE$126,1)-2*LEN(AE$5),1),0)+IFERROR(IF(AF63+1&gt;LARGE(AF$7:AF$126,1)-2*LEN(AF$5),1),0)+IFERROR(IF(AG63+1&gt;LARGE(AG$7:AG$126,1)-2*LEN(AG$5),1),0)+IFERROR(IF(AH63+1&gt;LARGE(AH$7:AH$126,1)-2*LEN(AH$5),1),0)+IFERROR(IF(AI63+1&gt;LARGE(AI$7:AI$126,1)-2*LEN(AI$5),1),0)</f>
        <v>0</v>
      </c>
      <c r="AP63" s="126">
        <f>IF(Z63=0,0,IF(Z63=IFERROR(LARGE(Z$7:Z$126,1),0),1,0))+IF(AA63=0,0,IF(AA63=IFERROR(LARGE(AA$7:AA$126,1),0),1,0))+IF(AB63=0,0,IF(AB63=IFERROR(LARGE(AB$7:AB$126,1),0),1,0))+IF(AC63=0,0,IF(AC63=IFERROR(LARGE(AC$7:AC$126,1),0),1,0))+IF(AD63=0,0,IF(AD63=IFERROR(LARGE(AD$7:AD$126,1),0),1,0))+IF(AE63=0,0,IF(AE63=IFERROR(LARGE(AE$7:AE$126,1),0),1,0))+IF(AF63=0,0,IF(AF63=IFERROR(LARGE(AF$7:AF$126,1),0),1,0))+IF(AG63=0,0,IF(AG63=IFERROR(LARGE(AG$7:AG$126,1),0),1,0))+IF(AH63=0,0,IF(AH63=IFERROR(LARGE(AH$7:AH$126,1),0),1,0))+IF(AI63=0,0,IF(AI63=IFERROR(LARGE(AI$7:AI$126,1),0),1,0))</f>
        <v>0</v>
      </c>
      <c r="AQ63" s="233"/>
      <c r="AR63" s="233"/>
      <c r="AS63" s="233"/>
      <c r="AT63" s="234">
        <f>SMALL(AU63:BD63,AT$3)</f>
        <v>0.0001</v>
      </c>
      <c r="AU63" s="235">
        <f>IF(Z63="  ",0+MID(Z$6,FIND("V",Z$6)+1,256)/10000,Z63+MID(Z$6,FIND("V",Z$6)+1,256)/10000)</f>
        <v>0.0001</v>
      </c>
      <c r="AV63" s="235">
        <f>IF(AA63="  ",0+MID(AA$6,FIND("V",AA$6)+1,256)/10000,AA63+MID(AA$6,FIND("V",AA$6)+1,256)/10000)</f>
        <v>0.0002</v>
      </c>
      <c r="AW63" s="235">
        <f>IF(AB63="  ",0+MID(AB$6,FIND("V",AB$6)+1,256)/10000,AB63+MID(AB$6,FIND("V",AB$6)+1,256)/10000)</f>
        <v>0.0003</v>
      </c>
      <c r="AX63" s="235">
        <f>IF(AC63="  ",0+MID(AC$6,FIND("V",AC$6)+1,256)/10000,AC63+MID(AC$6,FIND("V",AC$6)+1,256)/10000)</f>
        <v>0.0004</v>
      </c>
      <c r="AY63" s="235">
        <f>IF(AD63="  ",0+MID(AD$6,FIND("V",AD$6)+1,256)/10000,AD63+MID(AD$6,FIND("V",AD$6)+1,256)/10000)</f>
        <v>0.0005</v>
      </c>
      <c r="AZ63" s="235">
        <f>IF(AE63="  ",0+MID(AE$6,FIND("V",AE$6)+1,256)/10000,AE63+MID(AE$6,FIND("V",AE$6)+1,256)/10000)</f>
        <v>0.0006</v>
      </c>
      <c r="BA63" s="235">
        <f>IF(AF63="  ",0+MID(AF$6,FIND("V",AF$6)+1,256)/10000,AF63+MID(AF$6,FIND("V",AF$6)+1,256)/10000)</f>
        <v>0.0007</v>
      </c>
      <c r="BB63" s="235">
        <f>IF(AG63="  ",0+MID(AG$6,FIND("V",AG$6)+1,256)/10000,AG63+MID(AG$6,FIND("V",AG$6)+1,256)/10000)</f>
        <v>0.0008</v>
      </c>
      <c r="BC63" s="235">
        <f>IF(AH63="  ",0+MID(AH$6,FIND("V",AH$6)+1,256)/10000,AH63+MID(AH$6,FIND("V",AH$6)+1,256)/10000)</f>
        <v>0.0009</v>
      </c>
      <c r="BD63" s="235">
        <f>IF(AI63="  ",0+MID(AI$6,FIND("V",AI$6)+1,256)/10000,AI63+MID(AI$6,FIND("V",AI$6)+1,256)/10000)</f>
        <v>0.001</v>
      </c>
      <c r="BE63" s="233"/>
      <c r="BF63" s="233"/>
      <c r="BG63" s="233"/>
      <c r="BH63" s="233"/>
      <c r="BI63" s="3" t="e">
        <f>(LARGE(Z$7:Z$126,1)-Z63)/2+1</f>
        <v>#VALUE!</v>
      </c>
      <c r="BJ63" s="3" t="e">
        <f>(LARGE(AA$7:AA$126,1)-AA63)/2+1</f>
        <v>#VALUE!</v>
      </c>
      <c r="BK63" s="3" t="e">
        <f>(LARGE(AB$7:AB$126,1)-AB63)/2+1</f>
        <v>#VALUE!</v>
      </c>
      <c r="BL63" s="3" t="e">
        <f>(LARGE(AC$7:AC$126,1)-AC63)/2+1</f>
        <v>#VALUE!</v>
      </c>
      <c r="BM63" s="3" t="e">
        <f>(LARGE(AD$7:AD$126,1)-AD63)/2+1</f>
        <v>#VALUE!</v>
      </c>
      <c r="BN63" s="3" t="e">
        <f>(LARGE(AE$7:AE$126,1)-AE63)/2+1</f>
        <v>#VALUE!</v>
      </c>
      <c r="BO63" s="3" t="e">
        <f>(LARGE(AF$7:AF$126,1)-AF63)/2+1</f>
        <v>#VALUE!</v>
      </c>
      <c r="BP63" s="3" t="e">
        <f>(LARGE(AG$7:AG$126,1)-AG63)/2+1</f>
        <v>#VALUE!</v>
      </c>
      <c r="BQ63" s="3" t="e">
        <f>(LARGE(AH$7:AH$126,1)-AH63)/2+1</f>
        <v>#NUM!</v>
      </c>
      <c r="BR63" s="3" t="e">
        <f>(LARGE(AI$7:AI$126,1)-AI63)/2+1</f>
        <v>#NUM!</v>
      </c>
    </row>
    <row r="64" ht="12.75" hidden="1" customHeight="1" spans="1:70">
      <c r="A64" s="139" t="str">
        <f>IF(R64&gt;0,IF(Q64="Viru SK",RANK(B64,B$7:B$126,1)-COUNTIF((Q$7:Q$126),"&lt;&gt;Viru SK"),""),"")</f>
        <v/>
      </c>
      <c r="B64" s="140">
        <f>IF((Q64="Viru SK"),U64,U64-1000)</f>
        <v>-880</v>
      </c>
      <c r="C64" s="141" t="str">
        <f>IF(R64&gt;0,IF(P64="t",RANK(D64,D$7:D$126,1)-COUNTBLANK(P$7:P$126),""),"")</f>
        <v/>
      </c>
      <c r="D64" s="142">
        <f>IF((P64="t"),U64,U64-1000)</f>
        <v>-880</v>
      </c>
      <c r="E64" s="143" t="str">
        <f>IF(R64&gt;0,IF(N64="m",RANK(F64,F$7:F$126,1)-COUNTBLANK(N$7:N$126),""),"")</f>
        <v/>
      </c>
      <c r="F64" s="144">
        <f>IF((N64="m"),U64,U64-1000)</f>
        <v>120</v>
      </c>
      <c r="G64" s="145" t="str">
        <f>IF(R64&gt;0,IF(M64="n",RANK(H64,H$7:H$126,1)-COUNTBLANK(M$7:M$126),""),"")</f>
        <v/>
      </c>
      <c r="H64" s="144">
        <f>IF((M64="n"),U64,U64-1000)</f>
        <v>-880</v>
      </c>
      <c r="I64" s="160" t="str">
        <f>IF(R64&gt;0,IF(O64="j",RANK(J64,J$7:J$126,1)-COUNTBLANK(O$7:O$126),""),"")</f>
        <v/>
      </c>
      <c r="J64" s="161">
        <f>IF((O64="j"),U64,U64-1000)</f>
        <v>-880</v>
      </c>
      <c r="K64" s="162" t="str">
        <f>IF(R64&gt;0,RANK(U64,U$7:U$126,1),"")</f>
        <v/>
      </c>
      <c r="L64" s="168" t="s">
        <v>254</v>
      </c>
      <c r="M64" s="164"/>
      <c r="N64" s="165" t="str">
        <f>IF(M64="","m","")</f>
        <v>m</v>
      </c>
      <c r="O64" s="166"/>
      <c r="P64" s="167"/>
      <c r="Q64" s="192"/>
      <c r="R64" s="154">
        <f>(IF(COUNT(Z64,AA64,AB64,AC64,AD64,AE64,AF64,AG64,AH64,AI64)&lt;10,SUM(Z64,AA64,AB64,AC64,AD64,AE64,AF64,AG64,AH64,AI64),SUM(LARGE((Z64,AA64,AB64,AC64,AD64,AE64,AF64,AG64,AH64,AI64),{1;2;3;4;5;6;7;8;9}))))</f>
        <v>0</v>
      </c>
      <c r="S64" s="193" t="str">
        <f>INDEX(ETAPP!B$1:B$32,MATCH(COUNTIF(BI64:BR64,1),ETAPP!A$1:A$32,0))&amp;INDEX(ETAPP!B$1:B$32,MATCH(COUNTIF(BI64:BR64,2),ETAPP!A$1:A$32,0))&amp;INDEX(ETAPP!B$1:B$32,MATCH(COUNTIF(BI64:BR64,3),ETAPP!A$1:A$32,0))&amp;INDEX(ETAPP!B$1:B$32,MATCH(COUNTIF(BI64:BR64,4),ETAPP!A$1:A$32,0))&amp;INDEX(ETAPP!B$1:B$32,MATCH(COUNTIF(BI64:BR64,5),ETAPP!A$1:A$32,0))&amp;INDEX(ETAPP!B$1:B$32,MATCH(COUNTIF(BI64:BR64,6),ETAPP!A$1:A$32,0))&amp;INDEX(ETAPP!B$1:B$32,MATCH(COUNTIF(BI64:BR64,7),ETAPP!A$1:A$32,0))&amp;INDEX(ETAPP!B$1:B$32,MATCH(COUNTIF(BI64:BR64,8),ETAPP!A$1:A$32,0))&amp;INDEX(ETAPP!B$1:B$32,MATCH(COUNTIF(BI64:BR64,9),ETAPP!A$1:A$32,0))&amp;INDEX(ETAPP!B$1:B$32,MATCH(COUNTIF(BI64:BR64,10),ETAPP!A$1:A$32,0))&amp;INDEX(ETAPP!B$1:B$32,MATCH(COUNTIF(BI64:BR64,11),ETAPP!A$1:A$32,0))&amp;INDEX(ETAPP!B$1:B$32,MATCH(COUNTIF(BI64:BR64,12),ETAPP!A$1:A$32,0))&amp;INDEX(ETAPP!B$1:B$32,MATCH(COUNTIF(BI64:BR64,13),ETAPP!A$1:A$32,0))&amp;INDEX(ETAPP!B$1:B$32,MATCH(COUNTIF(BI64:BR64,14),ETAPP!A$1:A$32,0))&amp;INDEX(ETAPP!B$1:B$32,MATCH(COUNTIF(BI64:BR64,15),ETAPP!A$1:A$32,0))&amp;INDEX(ETAPP!B$1:B$32,MATCH(COUNTIF(BI64:BR64,16),ETAPP!A$1:A$32,0))&amp;INDEX(ETAPP!B$1:B$32,MATCH(COUNTIF(BI64:BR64,17),ETAPP!A$1:A$32,0))&amp;INDEX(ETAPP!B$1:B$32,MATCH(COUNTIF(BI64:BR64,18),ETAPP!A$1:A$32,0))&amp;INDEX(ETAPP!B$1:B$32,MATCH(COUNTIF(BI64:BR64,19),ETAPP!A$1:A$32,0))&amp;INDEX(ETAPP!B$1:B$32,MATCH(COUNTIF(BI64:BR64,20),ETAPP!A$1:A$32,0))&amp;INDEX(ETAPP!B$1:B$32,MATCH(COUNTIF(BI64:BR64,21),ETAPP!A$1:A$32,0))</f>
        <v>000000000000000000000</v>
      </c>
      <c r="T64" s="193" t="str">
        <f>TEXT(R64,"000,0")&amp;"-"&amp;S64</f>
        <v>000,0-000000000000000000000</v>
      </c>
      <c r="U64" s="193">
        <f>COUNTIF(T$7:T$126,"&gt;="&amp;T64)</f>
        <v>120</v>
      </c>
      <c r="V64" s="193">
        <f>COUNTIF(L$7:L$126,"&gt;="&amp;L64)</f>
        <v>113</v>
      </c>
      <c r="W64" s="193" t="str">
        <f>TEXT(R64,"000,0")&amp;"-"&amp;S64&amp;"-"&amp;TEXT(V64,"000")</f>
        <v>000,0-000000000000000000000-113</v>
      </c>
      <c r="X64" s="193">
        <f>COUNTIF(W$7:W$126,"&gt;="&amp;W64)</f>
        <v>58</v>
      </c>
      <c r="Y64" s="201">
        <f>RANK(X64,X$7:X$126,0)</f>
        <v>63</v>
      </c>
      <c r="Z64" s="202" t="str">
        <f>IFERROR(INDEX('V1'!C$300:C$400,MATCH("*"&amp;L64&amp;"*",'V1'!B$300:B$400,0)),"  ")</f>
        <v>  </v>
      </c>
      <c r="AA64" s="202" t="str">
        <f>IFERROR(INDEX('V2'!C$300:C$400,MATCH("*"&amp;L64&amp;"*",'V2'!B$300:B$400,0)),"  ")</f>
        <v>  </v>
      </c>
      <c r="AB64" s="202" t="str">
        <f>IFERROR(INDEX('V3'!C$300:C$400,MATCH("*"&amp;L64&amp;"*",'V3'!B$300:B$400,0)),"  ")</f>
        <v>  </v>
      </c>
      <c r="AC64" s="202" t="str">
        <f>IFERROR(INDEX('V4'!C$300:C$400,MATCH("*"&amp;L64&amp;"*",'V4'!B$300:B$400,0)),"  ")</f>
        <v>  </v>
      </c>
      <c r="AD64" s="202" t="str">
        <f>IFERROR(INDEX('V5'!C$300:C$400,MATCH("*"&amp;L64&amp;"*",'V5'!B$300:B$400,0)),"  ")</f>
        <v>  </v>
      </c>
      <c r="AE64" s="202" t="str">
        <f>IFERROR(INDEX('V6'!C$300:C$400,MATCH("*"&amp;L64&amp;"*",'V6'!B$300:B$400,0)),"  ")</f>
        <v>  </v>
      </c>
      <c r="AF64" s="202" t="str">
        <f>IFERROR(INDEX('V7'!C$300:C$400,MATCH("*"&amp;L64&amp;"*",'V7'!B$300:B$400,0)),"  ")</f>
        <v>  </v>
      </c>
      <c r="AG64" s="202" t="str">
        <f>IFERROR(INDEX('V8'!C$300:C$400,MATCH("*"&amp;L64&amp;"*",'V8'!B$300:B$400,0)),"  ")</f>
        <v>  </v>
      </c>
      <c r="AH64" s="202"/>
      <c r="AI64" s="202"/>
      <c r="AJ64" s="222" t="str">
        <f>IF(AN64&gt;(AT$2-1),K64,"")</f>
        <v/>
      </c>
      <c r="AK64" s="223">
        <f>SUM(Z64:AI64)</f>
        <v>0</v>
      </c>
      <c r="AL64" s="224" t="str">
        <f>IFERROR("edasi "&amp;RANK(AJ64,AJ$7:AJ$126,1),K64)</f>
        <v/>
      </c>
      <c r="AM64" s="225" t="str">
        <f>IFERROR(INDEX(#REF!,MATCH("*"&amp;L64&amp;"*",#REF!,0)),"  ")</f>
        <v>  </v>
      </c>
      <c r="AN64" s="226">
        <f>COUNTIF(Z64:AI64,"&gt;=0")</f>
        <v>0</v>
      </c>
      <c r="AO64" s="126">
        <f>IFERROR(IF(Z64+1&gt;LARGE(Z$7:Z$126,1)-2*LEN(Z$5),1),0)+IFERROR(IF(AA64+1&gt;LARGE(AA$7:AA$126,1)-2*LEN(AA$5),1),0)+IFERROR(IF(AB64+1&gt;LARGE(AB$7:AB$126,1)-2*LEN(AB$5),1),0)+IFERROR(IF(AC64+1&gt;LARGE(AC$7:AC$126,1)-2*LEN(AC$5),1),0)+IFERROR(IF(AD64+1&gt;LARGE(AD$7:AD$126,1)-2*LEN(AD$5),1),0)+IFERROR(IF(AE64+1&gt;LARGE(AE$7:AE$126,1)-2*LEN(AE$5),1),0)+IFERROR(IF(AF64+1&gt;LARGE(AF$7:AF$126,1)-2*LEN(AF$5),1),0)+IFERROR(IF(AG64+1&gt;LARGE(AG$7:AG$126,1)-2*LEN(AG$5),1),0)+IFERROR(IF(AH64+1&gt;LARGE(AH$7:AH$126,1)-2*LEN(AH$5),1),0)+IFERROR(IF(AI64+1&gt;LARGE(AI$7:AI$126,1)-2*LEN(AI$5),1),0)</f>
        <v>0</v>
      </c>
      <c r="AP64" s="126">
        <f>IF(Z64=0,0,IF(Z64=IFERROR(LARGE(Z$7:Z$126,1),0),1,0))+IF(AA64=0,0,IF(AA64=IFERROR(LARGE(AA$7:AA$126,1),0),1,0))+IF(AB64=0,0,IF(AB64=IFERROR(LARGE(AB$7:AB$126,1),0),1,0))+IF(AC64=0,0,IF(AC64=IFERROR(LARGE(AC$7:AC$126,1),0),1,0))+IF(AD64=0,0,IF(AD64=IFERROR(LARGE(AD$7:AD$126,1),0),1,0))+IF(AE64=0,0,IF(AE64=IFERROR(LARGE(AE$7:AE$126,1),0),1,0))+IF(AF64=0,0,IF(AF64=IFERROR(LARGE(AF$7:AF$126,1),0),1,0))+IF(AG64=0,0,IF(AG64=IFERROR(LARGE(AG$7:AG$126,1),0),1,0))+IF(AH64=0,0,IF(AH64=IFERROR(LARGE(AH$7:AH$126,1),0),1,0))+IF(AI64=0,0,IF(AI64=IFERROR(LARGE(AI$7:AI$126,1),0),1,0))</f>
        <v>0</v>
      </c>
      <c r="AQ64" s="233"/>
      <c r="AR64" s="233"/>
      <c r="AS64" s="233"/>
      <c r="AT64" s="234">
        <f>SMALL(AU64:BD64,AT$3)</f>
        <v>0.0001</v>
      </c>
      <c r="AU64" s="235">
        <f>IF(Z64="  ",0+MID(Z$6,FIND("V",Z$6)+1,256)/10000,Z64+MID(Z$6,FIND("V",Z$6)+1,256)/10000)</f>
        <v>0.0001</v>
      </c>
      <c r="AV64" s="235">
        <f>IF(AA64="  ",0+MID(AA$6,FIND("V",AA$6)+1,256)/10000,AA64+MID(AA$6,FIND("V",AA$6)+1,256)/10000)</f>
        <v>0.0002</v>
      </c>
      <c r="AW64" s="235">
        <f>IF(AB64="  ",0+MID(AB$6,FIND("V",AB$6)+1,256)/10000,AB64+MID(AB$6,FIND("V",AB$6)+1,256)/10000)</f>
        <v>0.0003</v>
      </c>
      <c r="AX64" s="235">
        <f>IF(AC64="  ",0+MID(AC$6,FIND("V",AC$6)+1,256)/10000,AC64+MID(AC$6,FIND("V",AC$6)+1,256)/10000)</f>
        <v>0.0004</v>
      </c>
      <c r="AY64" s="235">
        <f>IF(AD64="  ",0+MID(AD$6,FIND("V",AD$6)+1,256)/10000,AD64+MID(AD$6,FIND("V",AD$6)+1,256)/10000)</f>
        <v>0.0005</v>
      </c>
      <c r="AZ64" s="235">
        <f>IF(AE64="  ",0+MID(AE$6,FIND("V",AE$6)+1,256)/10000,AE64+MID(AE$6,FIND("V",AE$6)+1,256)/10000)</f>
        <v>0.0006</v>
      </c>
      <c r="BA64" s="235">
        <f>IF(AF64="  ",0+MID(AF$6,FIND("V",AF$6)+1,256)/10000,AF64+MID(AF$6,FIND("V",AF$6)+1,256)/10000)</f>
        <v>0.0007</v>
      </c>
      <c r="BB64" s="235">
        <f>IF(AG64="  ",0+MID(AG$6,FIND("V",AG$6)+1,256)/10000,AG64+MID(AG$6,FIND("V",AG$6)+1,256)/10000)</f>
        <v>0.0008</v>
      </c>
      <c r="BC64" s="235">
        <f>IF(AH64="  ",0+MID(AH$6,FIND("V",AH$6)+1,256)/10000,AH64+MID(AH$6,FIND("V",AH$6)+1,256)/10000)</f>
        <v>0.0009</v>
      </c>
      <c r="BD64" s="235">
        <f>IF(AI64="  ",0+MID(AI$6,FIND("V",AI$6)+1,256)/10000,AI64+MID(AI$6,FIND("V",AI$6)+1,256)/10000)</f>
        <v>0.001</v>
      </c>
      <c r="BE64" s="233"/>
      <c r="BF64" s="233"/>
      <c r="BG64" s="233"/>
      <c r="BH64" s="233"/>
      <c r="BI64" s="3" t="e">
        <f>(LARGE(Z$7:Z$126,1)-Z64)/2+1</f>
        <v>#VALUE!</v>
      </c>
      <c r="BJ64" s="3" t="e">
        <f>(LARGE(AA$7:AA$126,1)-AA64)/2+1</f>
        <v>#VALUE!</v>
      </c>
      <c r="BK64" s="3" t="e">
        <f>(LARGE(AB$7:AB$126,1)-AB64)/2+1</f>
        <v>#VALUE!</v>
      </c>
      <c r="BL64" s="3" t="e">
        <f>(LARGE(AC$7:AC$126,1)-AC64)/2+1</f>
        <v>#VALUE!</v>
      </c>
      <c r="BM64" s="3" t="e">
        <f>(LARGE(AD$7:AD$126,1)-AD64)/2+1</f>
        <v>#VALUE!</v>
      </c>
      <c r="BN64" s="3" t="e">
        <f>(LARGE(AE$7:AE$126,1)-AE64)/2+1</f>
        <v>#VALUE!</v>
      </c>
      <c r="BO64" s="3" t="e">
        <f>(LARGE(AF$7:AF$126,1)-AF64)/2+1</f>
        <v>#VALUE!</v>
      </c>
      <c r="BP64" s="3" t="e">
        <f>(LARGE(AG$7:AG$126,1)-AG64)/2+1</f>
        <v>#VALUE!</v>
      </c>
      <c r="BQ64" s="3" t="e">
        <f>(LARGE(AH$7:AH$126,1)-AH64)/2+1</f>
        <v>#NUM!</v>
      </c>
      <c r="BR64" s="3" t="e">
        <f>(LARGE(AI$7:AI$126,1)-AI64)/2+1</f>
        <v>#NUM!</v>
      </c>
    </row>
    <row r="65" ht="12.75" hidden="1" customHeight="1" spans="1:70">
      <c r="A65" s="139" t="str">
        <f>IF(R65&gt;0,IF(Q65="Viru SK",RANK(B65,B$7:B$126,1)-COUNTIF((Q$7:Q$126),"&lt;&gt;Viru SK"),""),"")</f>
        <v/>
      </c>
      <c r="B65" s="140">
        <f>IF((Q65="Viru SK"),U65,U65-1000)</f>
        <v>-880</v>
      </c>
      <c r="C65" s="141" t="str">
        <f>IF(R65&gt;0,IF(P65="t",RANK(D65,D$7:D$126,1)-COUNTBLANK(P$7:P$126),""),"")</f>
        <v/>
      </c>
      <c r="D65" s="142">
        <f>IF((P65="t"),U65,U65-1000)</f>
        <v>-880</v>
      </c>
      <c r="E65" s="143" t="str">
        <f>IF(R65&gt;0,IF(N65="m",RANK(F65,F$7:F$126,1)-COUNTBLANK(N$7:N$126),""),"")</f>
        <v/>
      </c>
      <c r="F65" s="144">
        <f>IF((N65="m"),U65,U65-1000)</f>
        <v>120</v>
      </c>
      <c r="G65" s="145" t="str">
        <f>IF(R65&gt;0,IF(M65="n",RANK(H65,H$7:H$126,1)-COUNTBLANK(M$7:M$126),""),"")</f>
        <v/>
      </c>
      <c r="H65" s="144">
        <f>IF((M65="n"),U65,U65-1000)</f>
        <v>-880</v>
      </c>
      <c r="I65" s="160" t="str">
        <f>IF(R65&gt;0,IF(O65="j",RANK(J65,J$7:J$126,1)-COUNTBLANK(O$7:O$126),""),"")</f>
        <v/>
      </c>
      <c r="J65" s="161">
        <f>IF((O65="j"),U65,U65-1000)</f>
        <v>-880</v>
      </c>
      <c r="K65" s="162" t="str">
        <f>IF(R65&gt;0,RANK(U65,U$7:U$126,1),"")</f>
        <v/>
      </c>
      <c r="L65" s="163" t="s">
        <v>255</v>
      </c>
      <c r="M65" s="164"/>
      <c r="N65" s="165" t="str">
        <f>IF(M65="","m","")</f>
        <v>m</v>
      </c>
      <c r="O65" s="166"/>
      <c r="P65" s="167"/>
      <c r="Q65" s="192"/>
      <c r="R65" s="154">
        <f>(IF(COUNT(Z65,AA65,AB65,AC65,AD65,AE65,AF65,AG65,AH65,AI65)&lt;10,SUM(Z65,AA65,AB65,AC65,AD65,AE65,AF65,AG65,AH65,AI65),SUM(LARGE((Z65,AA65,AB65,AC65,AD65,AE65,AF65,AG65,AH65,AI65),{1;2;3;4;5;6;7;8;9}))))</f>
        <v>0</v>
      </c>
      <c r="S65" s="193" t="str">
        <f>INDEX(ETAPP!B$1:B$32,MATCH(COUNTIF(BI65:BR65,1),ETAPP!A$1:A$32,0))&amp;INDEX(ETAPP!B$1:B$32,MATCH(COUNTIF(BI65:BR65,2),ETAPP!A$1:A$32,0))&amp;INDEX(ETAPP!B$1:B$32,MATCH(COUNTIF(BI65:BR65,3),ETAPP!A$1:A$32,0))&amp;INDEX(ETAPP!B$1:B$32,MATCH(COUNTIF(BI65:BR65,4),ETAPP!A$1:A$32,0))&amp;INDEX(ETAPP!B$1:B$32,MATCH(COUNTIF(BI65:BR65,5),ETAPP!A$1:A$32,0))&amp;INDEX(ETAPP!B$1:B$32,MATCH(COUNTIF(BI65:BR65,6),ETAPP!A$1:A$32,0))&amp;INDEX(ETAPP!B$1:B$32,MATCH(COUNTIF(BI65:BR65,7),ETAPP!A$1:A$32,0))&amp;INDEX(ETAPP!B$1:B$32,MATCH(COUNTIF(BI65:BR65,8),ETAPP!A$1:A$32,0))&amp;INDEX(ETAPP!B$1:B$32,MATCH(COUNTIF(BI65:BR65,9),ETAPP!A$1:A$32,0))&amp;INDEX(ETAPP!B$1:B$32,MATCH(COUNTIF(BI65:BR65,10),ETAPP!A$1:A$32,0))&amp;INDEX(ETAPP!B$1:B$32,MATCH(COUNTIF(BI65:BR65,11),ETAPP!A$1:A$32,0))&amp;INDEX(ETAPP!B$1:B$32,MATCH(COUNTIF(BI65:BR65,12),ETAPP!A$1:A$32,0))&amp;INDEX(ETAPP!B$1:B$32,MATCH(COUNTIF(BI65:BR65,13),ETAPP!A$1:A$32,0))&amp;INDEX(ETAPP!B$1:B$32,MATCH(COUNTIF(BI65:BR65,14),ETAPP!A$1:A$32,0))&amp;INDEX(ETAPP!B$1:B$32,MATCH(COUNTIF(BI65:BR65,15),ETAPP!A$1:A$32,0))&amp;INDEX(ETAPP!B$1:B$32,MATCH(COUNTIF(BI65:BR65,16),ETAPP!A$1:A$32,0))&amp;INDEX(ETAPP!B$1:B$32,MATCH(COUNTIF(BI65:BR65,17),ETAPP!A$1:A$32,0))&amp;INDEX(ETAPP!B$1:B$32,MATCH(COUNTIF(BI65:BR65,18),ETAPP!A$1:A$32,0))&amp;INDEX(ETAPP!B$1:B$32,MATCH(COUNTIF(BI65:BR65,19),ETAPP!A$1:A$32,0))&amp;INDEX(ETAPP!B$1:B$32,MATCH(COUNTIF(BI65:BR65,20),ETAPP!A$1:A$32,0))&amp;INDEX(ETAPP!B$1:B$32,MATCH(COUNTIF(BI65:BR65,21),ETAPP!A$1:A$32,0))</f>
        <v>000000000000000000000</v>
      </c>
      <c r="T65" s="193" t="str">
        <f>TEXT(R65,"000,0")&amp;"-"&amp;S65</f>
        <v>000,0-000000000000000000000</v>
      </c>
      <c r="U65" s="193">
        <f>COUNTIF(T$7:T$126,"&gt;="&amp;T65)</f>
        <v>120</v>
      </c>
      <c r="V65" s="193">
        <f>COUNTIF(L$7:L$126,"&gt;="&amp;L65)</f>
        <v>110</v>
      </c>
      <c r="W65" s="193" t="str">
        <f>TEXT(R65,"000,0")&amp;"-"&amp;S65&amp;"-"&amp;TEXT(V65,"000")</f>
        <v>000,0-000000000000000000000-110</v>
      </c>
      <c r="X65" s="193">
        <f>COUNTIF(W$7:W$126,"&gt;="&amp;W65)</f>
        <v>59</v>
      </c>
      <c r="Y65" s="201">
        <f>RANK(X65,X$7:X$126,0)</f>
        <v>62</v>
      </c>
      <c r="Z65" s="202" t="str">
        <f>IFERROR(INDEX('V1'!C$300:C$400,MATCH("*"&amp;L65&amp;"*",'V1'!B$300:B$400,0)),"  ")</f>
        <v>  </v>
      </c>
      <c r="AA65" s="202" t="str">
        <f>IFERROR(INDEX('V2'!C$300:C$400,MATCH("*"&amp;L65&amp;"*",'V2'!B$300:B$400,0)),"  ")</f>
        <v>  </v>
      </c>
      <c r="AB65" s="202" t="str">
        <f>IFERROR(INDEX('V3'!C$300:C$400,MATCH("*"&amp;L65&amp;"*",'V3'!B$300:B$400,0)),"  ")</f>
        <v>  </v>
      </c>
      <c r="AC65" s="202" t="str">
        <f>IFERROR(INDEX('V4'!C$300:C$400,MATCH("*"&amp;L65&amp;"*",'V4'!B$300:B$400,0)),"  ")</f>
        <v>  </v>
      </c>
      <c r="AD65" s="202" t="str">
        <f>IFERROR(INDEX('V5'!C$300:C$400,MATCH("*"&amp;L65&amp;"*",'V5'!B$300:B$400,0)),"  ")</f>
        <v>  </v>
      </c>
      <c r="AE65" s="202" t="str">
        <f>IFERROR(INDEX('V6'!C$300:C$400,MATCH("*"&amp;L65&amp;"*",'V6'!B$300:B$400,0)),"  ")</f>
        <v>  </v>
      </c>
      <c r="AF65" s="202" t="str">
        <f>IFERROR(INDEX('V7'!C$300:C$400,MATCH("*"&amp;L65&amp;"*",'V7'!B$300:B$400,0)),"  ")</f>
        <v>  </v>
      </c>
      <c r="AG65" s="202" t="str">
        <f>IFERROR(INDEX('V8'!C$300:C$400,MATCH("*"&amp;L65&amp;"*",'V8'!B$300:B$400,0)),"  ")</f>
        <v>  </v>
      </c>
      <c r="AH65" s="202"/>
      <c r="AI65" s="202"/>
      <c r="AJ65" s="222" t="str">
        <f>IF(AN65&gt;(AT$2-1),K65,"")</f>
        <v/>
      </c>
      <c r="AK65" s="223">
        <f>SUM(Z65:AI65)</f>
        <v>0</v>
      </c>
      <c r="AL65" s="224" t="str">
        <f>IFERROR("edasi "&amp;RANK(AJ65,AJ$7:AJ$126,1),K65)</f>
        <v/>
      </c>
      <c r="AM65" s="225" t="str">
        <f>IFERROR(INDEX(#REF!,MATCH("*"&amp;L65&amp;"*",#REF!,0)),"  ")</f>
        <v>  </v>
      </c>
      <c r="AN65" s="226">
        <f>COUNTIF(Z65:AI65,"&gt;=0")</f>
        <v>0</v>
      </c>
      <c r="AO65" s="126">
        <f>IFERROR(IF(Z65+1&gt;LARGE(Z$7:Z$126,1)-2*LEN(Z$5),1),0)+IFERROR(IF(AA65+1&gt;LARGE(AA$7:AA$126,1)-2*LEN(AA$5),1),0)+IFERROR(IF(AB65+1&gt;LARGE(AB$7:AB$126,1)-2*LEN(AB$5),1),0)+IFERROR(IF(AC65+1&gt;LARGE(AC$7:AC$126,1)-2*LEN(AC$5),1),0)+IFERROR(IF(AD65+1&gt;LARGE(AD$7:AD$126,1)-2*LEN(AD$5),1),0)+IFERROR(IF(AE65+1&gt;LARGE(AE$7:AE$126,1)-2*LEN(AE$5),1),0)+IFERROR(IF(AF65+1&gt;LARGE(AF$7:AF$126,1)-2*LEN(AF$5),1),0)+IFERROR(IF(AG65+1&gt;LARGE(AG$7:AG$126,1)-2*LEN(AG$5),1),0)+IFERROR(IF(AH65+1&gt;LARGE(AH$7:AH$126,1)-2*LEN(AH$5),1),0)+IFERROR(IF(AI65+1&gt;LARGE(AI$7:AI$126,1)-2*LEN(AI$5),1),0)</f>
        <v>0</v>
      </c>
      <c r="AP65" s="126">
        <f>IF(Z65=0,0,IF(Z65=IFERROR(LARGE(Z$7:Z$126,1),0),1,0))+IF(AA65=0,0,IF(AA65=IFERROR(LARGE(AA$7:AA$126,1),0),1,0))+IF(AB65=0,0,IF(AB65=IFERROR(LARGE(AB$7:AB$126,1),0),1,0))+IF(AC65=0,0,IF(AC65=IFERROR(LARGE(AC$7:AC$126,1),0),1,0))+IF(AD65=0,0,IF(AD65=IFERROR(LARGE(AD$7:AD$126,1),0),1,0))+IF(AE65=0,0,IF(AE65=IFERROR(LARGE(AE$7:AE$126,1),0),1,0))+IF(AF65=0,0,IF(AF65=IFERROR(LARGE(AF$7:AF$126,1),0),1,0))+IF(AG65=0,0,IF(AG65=IFERROR(LARGE(AG$7:AG$126,1),0),1,0))+IF(AH65=0,0,IF(AH65=IFERROR(LARGE(AH$7:AH$126,1),0),1,0))+IF(AI65=0,0,IF(AI65=IFERROR(LARGE(AI$7:AI$126,1),0),1,0))</f>
        <v>0</v>
      </c>
      <c r="AQ65" s="233"/>
      <c r="AR65" s="233"/>
      <c r="AS65" s="233"/>
      <c r="AT65" s="234">
        <f>SMALL(AU65:BD65,AT$3)</f>
        <v>0.0001</v>
      </c>
      <c r="AU65" s="235">
        <f>IF(Z65="  ",0+MID(Z$6,FIND("V",Z$6)+1,256)/10000,Z65+MID(Z$6,FIND("V",Z$6)+1,256)/10000)</f>
        <v>0.0001</v>
      </c>
      <c r="AV65" s="235">
        <f>IF(AA65="  ",0+MID(AA$6,FIND("V",AA$6)+1,256)/10000,AA65+MID(AA$6,FIND("V",AA$6)+1,256)/10000)</f>
        <v>0.0002</v>
      </c>
      <c r="AW65" s="235">
        <f>IF(AB65="  ",0+MID(AB$6,FIND("V",AB$6)+1,256)/10000,AB65+MID(AB$6,FIND("V",AB$6)+1,256)/10000)</f>
        <v>0.0003</v>
      </c>
      <c r="AX65" s="235">
        <f>IF(AC65="  ",0+MID(AC$6,FIND("V",AC$6)+1,256)/10000,AC65+MID(AC$6,FIND("V",AC$6)+1,256)/10000)</f>
        <v>0.0004</v>
      </c>
      <c r="AY65" s="235">
        <f>IF(AD65="  ",0+MID(AD$6,FIND("V",AD$6)+1,256)/10000,AD65+MID(AD$6,FIND("V",AD$6)+1,256)/10000)</f>
        <v>0.0005</v>
      </c>
      <c r="AZ65" s="235">
        <f>IF(AE65="  ",0+MID(AE$6,FIND("V",AE$6)+1,256)/10000,AE65+MID(AE$6,FIND("V",AE$6)+1,256)/10000)</f>
        <v>0.0006</v>
      </c>
      <c r="BA65" s="235">
        <f>IF(AF65="  ",0+MID(AF$6,FIND("V",AF$6)+1,256)/10000,AF65+MID(AF$6,FIND("V",AF$6)+1,256)/10000)</f>
        <v>0.0007</v>
      </c>
      <c r="BB65" s="235">
        <f>IF(AG65="  ",0+MID(AG$6,FIND("V",AG$6)+1,256)/10000,AG65+MID(AG$6,FIND("V",AG$6)+1,256)/10000)</f>
        <v>0.0008</v>
      </c>
      <c r="BC65" s="235">
        <f>IF(AH65="  ",0+MID(AH$6,FIND("V",AH$6)+1,256)/10000,AH65+MID(AH$6,FIND("V",AH$6)+1,256)/10000)</f>
        <v>0.0009</v>
      </c>
      <c r="BD65" s="235">
        <f>IF(AI65="  ",0+MID(AI$6,FIND("V",AI$6)+1,256)/10000,AI65+MID(AI$6,FIND("V",AI$6)+1,256)/10000)</f>
        <v>0.001</v>
      </c>
      <c r="BE65" s="233"/>
      <c r="BF65" s="233"/>
      <c r="BG65" s="233"/>
      <c r="BH65" s="233"/>
      <c r="BI65" s="3" t="e">
        <f>(LARGE(Z$7:Z$126,1)-Z65)/2+1</f>
        <v>#VALUE!</v>
      </c>
      <c r="BJ65" s="3" t="e">
        <f>(LARGE(AA$7:AA$126,1)-AA65)/2+1</f>
        <v>#VALUE!</v>
      </c>
      <c r="BK65" s="3" t="e">
        <f>(LARGE(AB$7:AB$126,1)-AB65)/2+1</f>
        <v>#VALUE!</v>
      </c>
      <c r="BL65" s="3" t="e">
        <f>(LARGE(AC$7:AC$126,1)-AC65)/2+1</f>
        <v>#VALUE!</v>
      </c>
      <c r="BM65" s="3" t="e">
        <f>(LARGE(AD$7:AD$126,1)-AD65)/2+1</f>
        <v>#VALUE!</v>
      </c>
      <c r="BN65" s="3" t="e">
        <f>(LARGE(AE$7:AE$126,1)-AE65)/2+1</f>
        <v>#VALUE!</v>
      </c>
      <c r="BO65" s="3" t="e">
        <f>(LARGE(AF$7:AF$126,1)-AF65)/2+1</f>
        <v>#VALUE!</v>
      </c>
      <c r="BP65" s="3" t="e">
        <f>(LARGE(AG$7:AG$126,1)-AG65)/2+1</f>
        <v>#VALUE!</v>
      </c>
      <c r="BQ65" s="3" t="e">
        <f>(LARGE(AH$7:AH$126,1)-AH65)/2+1</f>
        <v>#NUM!</v>
      </c>
      <c r="BR65" s="3" t="e">
        <f>(LARGE(AI$7:AI$126,1)-AI65)/2+1</f>
        <v>#NUM!</v>
      </c>
    </row>
    <row r="66" ht="12.75" hidden="1" customHeight="1" spans="1:70">
      <c r="A66" s="139" t="str">
        <f>IF(R66&gt;0,IF(Q66="Viru SK",RANK(B66,B$7:B$126,1)-COUNTIF((Q$7:Q$126),"&lt;&gt;Viru SK"),""),"")</f>
        <v/>
      </c>
      <c r="B66" s="140">
        <f>IF((Q66="Viru SK"),U66,U66-1000)</f>
        <v>120</v>
      </c>
      <c r="C66" s="141" t="str">
        <f>IF(R66&gt;0,IF(P66="t",RANK(D66,D$7:D$126,1)-COUNTBLANK(P$7:P$126),""),"")</f>
        <v/>
      </c>
      <c r="D66" s="142">
        <f>IF((P66="t"),U66,U66-1000)</f>
        <v>-880</v>
      </c>
      <c r="E66" s="143" t="str">
        <f>IF(R66&gt;0,IF(N66="m",RANK(F66,F$7:F$126,1)-COUNTBLANK(N$7:N$126),""),"")</f>
        <v/>
      </c>
      <c r="F66" s="144">
        <f>IF((N66="m"),U66,U66-1000)</f>
        <v>-880</v>
      </c>
      <c r="G66" s="145" t="str">
        <f>IF(R66&gt;0,IF(M66="n",RANK(H66,H$7:H$126,1)-COUNTBLANK(M$7:M$126),""),"")</f>
        <v/>
      </c>
      <c r="H66" s="144">
        <f>IF((M66="n"),U66,U66-1000)</f>
        <v>120</v>
      </c>
      <c r="I66" s="160" t="str">
        <f>IF(R66&gt;0,IF(O66="j",RANK(J66,J$7:J$126,1)-COUNTBLANK(O$7:O$126),""),"")</f>
        <v/>
      </c>
      <c r="J66" s="161">
        <f>IF((O66="j"),U66,U66-1000)</f>
        <v>120</v>
      </c>
      <c r="K66" s="162" t="str">
        <f>IF(R66&gt;0,RANK(U66,U$7:U$126,1),"")</f>
        <v/>
      </c>
      <c r="L66" s="163" t="s">
        <v>256</v>
      </c>
      <c r="M66" s="164" t="s">
        <v>203</v>
      </c>
      <c r="N66" s="165"/>
      <c r="O66" s="166" t="s">
        <v>251</v>
      </c>
      <c r="P66" s="167"/>
      <c r="Q66" s="192" t="s">
        <v>171</v>
      </c>
      <c r="R66" s="154">
        <f>(IF(COUNT(Z66,AA66,AB66,AC66,AD66,AE66,AF66,AG66,AH66,AI66)&lt;10,SUM(Z66,AA66,AB66,AC66,AD66,AE66,AF66,AG66,AH66,AI66),SUM(LARGE((Z66,AA66,AB66,AC66,AD66,AE66,AF66,AG66,AH66,AI66),{1;2;3;4;5;6;7;8;9}))))</f>
        <v>0</v>
      </c>
      <c r="S66" s="193" t="str">
        <f>INDEX(ETAPP!B$1:B$32,MATCH(COUNTIF(BI66:BR66,1),ETAPP!A$1:A$32,0))&amp;INDEX(ETAPP!B$1:B$32,MATCH(COUNTIF(BI66:BR66,2),ETAPP!A$1:A$32,0))&amp;INDEX(ETAPP!B$1:B$32,MATCH(COUNTIF(BI66:BR66,3),ETAPP!A$1:A$32,0))&amp;INDEX(ETAPP!B$1:B$32,MATCH(COUNTIF(BI66:BR66,4),ETAPP!A$1:A$32,0))&amp;INDEX(ETAPP!B$1:B$32,MATCH(COUNTIF(BI66:BR66,5),ETAPP!A$1:A$32,0))&amp;INDEX(ETAPP!B$1:B$32,MATCH(COUNTIF(BI66:BR66,6),ETAPP!A$1:A$32,0))&amp;INDEX(ETAPP!B$1:B$32,MATCH(COUNTIF(BI66:BR66,7),ETAPP!A$1:A$32,0))&amp;INDEX(ETAPP!B$1:B$32,MATCH(COUNTIF(BI66:BR66,8),ETAPP!A$1:A$32,0))&amp;INDEX(ETAPP!B$1:B$32,MATCH(COUNTIF(BI66:BR66,9),ETAPP!A$1:A$32,0))&amp;INDEX(ETAPP!B$1:B$32,MATCH(COUNTIF(BI66:BR66,10),ETAPP!A$1:A$32,0))&amp;INDEX(ETAPP!B$1:B$32,MATCH(COUNTIF(BI66:BR66,11),ETAPP!A$1:A$32,0))&amp;INDEX(ETAPP!B$1:B$32,MATCH(COUNTIF(BI66:BR66,12),ETAPP!A$1:A$32,0))&amp;INDEX(ETAPP!B$1:B$32,MATCH(COUNTIF(BI66:BR66,13),ETAPP!A$1:A$32,0))&amp;INDEX(ETAPP!B$1:B$32,MATCH(COUNTIF(BI66:BR66,14),ETAPP!A$1:A$32,0))&amp;INDEX(ETAPP!B$1:B$32,MATCH(COUNTIF(BI66:BR66,15),ETAPP!A$1:A$32,0))&amp;INDEX(ETAPP!B$1:B$32,MATCH(COUNTIF(BI66:BR66,16),ETAPP!A$1:A$32,0))&amp;INDEX(ETAPP!B$1:B$32,MATCH(COUNTIF(BI66:BR66,17),ETAPP!A$1:A$32,0))&amp;INDEX(ETAPP!B$1:B$32,MATCH(COUNTIF(BI66:BR66,18),ETAPP!A$1:A$32,0))&amp;INDEX(ETAPP!B$1:B$32,MATCH(COUNTIF(BI66:BR66,19),ETAPP!A$1:A$32,0))&amp;INDEX(ETAPP!B$1:B$32,MATCH(COUNTIF(BI66:BR66,20),ETAPP!A$1:A$32,0))&amp;INDEX(ETAPP!B$1:B$32,MATCH(COUNTIF(BI66:BR66,21),ETAPP!A$1:A$32,0))</f>
        <v>000000000000000000000</v>
      </c>
      <c r="T66" s="193" t="str">
        <f>TEXT(R66,"000,0")&amp;"-"&amp;S66</f>
        <v>000,0-000000000000000000000</v>
      </c>
      <c r="U66" s="193">
        <f>COUNTIF(T$7:T$126,"&gt;="&amp;T66)</f>
        <v>120</v>
      </c>
      <c r="V66" s="193">
        <f>COUNTIF(L$7:L$126,"&gt;="&amp;L66)</f>
        <v>109</v>
      </c>
      <c r="W66" s="193" t="str">
        <f>TEXT(R66,"000,0")&amp;"-"&amp;S66&amp;"-"&amp;TEXT(V66,"000")</f>
        <v>000,0-000000000000000000000-109</v>
      </c>
      <c r="X66" s="193">
        <f>COUNTIF(W$7:W$126,"&gt;="&amp;W66)</f>
        <v>60</v>
      </c>
      <c r="Y66" s="201">
        <f>RANK(X66,X$7:X$126,0)</f>
        <v>61</v>
      </c>
      <c r="Z66" s="202" t="str">
        <f>IFERROR(INDEX('V1'!C$300:C$400,MATCH("*"&amp;L66&amp;"*",'V1'!B$300:B$400,0)),"  ")</f>
        <v>  </v>
      </c>
      <c r="AA66" s="202" t="str">
        <f>IFERROR(INDEX('V2'!C$300:C$400,MATCH("*"&amp;L66&amp;"*",'V2'!B$300:B$400,0)),"  ")</f>
        <v>  </v>
      </c>
      <c r="AB66" s="202" t="str">
        <f>IFERROR(INDEX('V3'!C$300:C$400,MATCH("*"&amp;L66&amp;"*",'V3'!B$300:B$400,0)),"  ")</f>
        <v>  </v>
      </c>
      <c r="AC66" s="202" t="str">
        <f>IFERROR(INDEX('V4'!C$300:C$400,MATCH("*"&amp;L66&amp;"*",'V4'!B$300:B$400,0)),"  ")</f>
        <v>  </v>
      </c>
      <c r="AD66" s="202" t="str">
        <f>IFERROR(INDEX('V5'!C$300:C$400,MATCH("*"&amp;L66&amp;"*",'V5'!B$300:B$400,0)),"  ")</f>
        <v>  </v>
      </c>
      <c r="AE66" s="202" t="str">
        <f>IFERROR(INDEX('V6'!C$300:C$400,MATCH("*"&amp;L66&amp;"*",'V6'!B$300:B$400,0)),"  ")</f>
        <v>  </v>
      </c>
      <c r="AF66" s="202" t="str">
        <f>IFERROR(INDEX('V7'!C$300:C$400,MATCH("*"&amp;L66&amp;"*",'V7'!B$300:B$400,0)),"  ")</f>
        <v>  </v>
      </c>
      <c r="AG66" s="202" t="str">
        <f>IFERROR(INDEX('V8'!C$300:C$400,MATCH("*"&amp;L66&amp;"*",'V8'!B$300:B$400,0)),"  ")</f>
        <v>  </v>
      </c>
      <c r="AH66" s="202"/>
      <c r="AI66" s="202"/>
      <c r="AJ66" s="222" t="str">
        <f>IF(AN66&gt;(AT$2-1),K66,"")</f>
        <v/>
      </c>
      <c r="AK66" s="223">
        <f>SUM(Z66:AI66)</f>
        <v>0</v>
      </c>
      <c r="AL66" s="224" t="str">
        <f>IFERROR("edasi "&amp;RANK(AJ66,AJ$7:AJ$126,1),K66)</f>
        <v/>
      </c>
      <c r="AM66" s="225" t="str">
        <f>IFERROR(INDEX(#REF!,MATCH("*"&amp;L66&amp;"*",#REF!,0)),"  ")</f>
        <v>  </v>
      </c>
      <c r="AN66" s="226">
        <f>COUNTIF(Z66:AI66,"&gt;=0")</f>
        <v>0</v>
      </c>
      <c r="AO66" s="126">
        <f>IFERROR(IF(Z66+1&gt;LARGE(Z$7:Z$126,1)-2*LEN(Z$5),1),0)+IFERROR(IF(AA66+1&gt;LARGE(AA$7:AA$126,1)-2*LEN(AA$5),1),0)+IFERROR(IF(AB66+1&gt;LARGE(AB$7:AB$126,1)-2*LEN(AB$5),1),0)+IFERROR(IF(AC66+1&gt;LARGE(AC$7:AC$126,1)-2*LEN(AC$5),1),0)+IFERROR(IF(AD66+1&gt;LARGE(AD$7:AD$126,1)-2*LEN(AD$5),1),0)+IFERROR(IF(AE66+1&gt;LARGE(AE$7:AE$126,1)-2*LEN(AE$5),1),0)+IFERROR(IF(AF66+1&gt;LARGE(AF$7:AF$126,1)-2*LEN(AF$5),1),0)+IFERROR(IF(AG66+1&gt;LARGE(AG$7:AG$126,1)-2*LEN(AG$5),1),0)+IFERROR(IF(AH66+1&gt;LARGE(AH$7:AH$126,1)-2*LEN(AH$5),1),0)+IFERROR(IF(AI66+1&gt;LARGE(AI$7:AI$126,1)-2*LEN(AI$5),1),0)</f>
        <v>0</v>
      </c>
      <c r="AP66" s="126">
        <f>IF(Z66=0,0,IF(Z66=IFERROR(LARGE(Z$7:Z$126,1),0),1,0))+IF(AA66=0,0,IF(AA66=IFERROR(LARGE(AA$7:AA$126,1),0),1,0))+IF(AB66=0,0,IF(AB66=IFERROR(LARGE(AB$7:AB$126,1),0),1,0))+IF(AC66=0,0,IF(AC66=IFERROR(LARGE(AC$7:AC$126,1),0),1,0))+IF(AD66=0,0,IF(AD66=IFERROR(LARGE(AD$7:AD$126,1),0),1,0))+IF(AE66=0,0,IF(AE66=IFERROR(LARGE(AE$7:AE$126,1),0),1,0))+IF(AF66=0,0,IF(AF66=IFERROR(LARGE(AF$7:AF$126,1),0),1,0))+IF(AG66=0,0,IF(AG66=IFERROR(LARGE(AG$7:AG$126,1),0),1,0))+IF(AH66=0,0,IF(AH66=IFERROR(LARGE(AH$7:AH$126,1),0),1,0))+IF(AI66=0,0,IF(AI66=IFERROR(LARGE(AI$7:AI$126,1),0),1,0))</f>
        <v>0</v>
      </c>
      <c r="AQ66" s="233"/>
      <c r="AR66" s="233"/>
      <c r="AS66" s="233"/>
      <c r="AT66" s="234">
        <f>SMALL(AU66:BD66,AT$3)</f>
        <v>0.0001</v>
      </c>
      <c r="AU66" s="235">
        <f>IF(Z66="  ",0+MID(Z$6,FIND("V",Z$6)+1,256)/10000,Z66+MID(Z$6,FIND("V",Z$6)+1,256)/10000)</f>
        <v>0.0001</v>
      </c>
      <c r="AV66" s="235">
        <f>IF(AA66="  ",0+MID(AA$6,FIND("V",AA$6)+1,256)/10000,AA66+MID(AA$6,FIND("V",AA$6)+1,256)/10000)</f>
        <v>0.0002</v>
      </c>
      <c r="AW66" s="235">
        <f>IF(AB66="  ",0+MID(AB$6,FIND("V",AB$6)+1,256)/10000,AB66+MID(AB$6,FIND("V",AB$6)+1,256)/10000)</f>
        <v>0.0003</v>
      </c>
      <c r="AX66" s="235">
        <f>IF(AC66="  ",0+MID(AC$6,FIND("V",AC$6)+1,256)/10000,AC66+MID(AC$6,FIND("V",AC$6)+1,256)/10000)</f>
        <v>0.0004</v>
      </c>
      <c r="AY66" s="235">
        <f>IF(AD66="  ",0+MID(AD$6,FIND("V",AD$6)+1,256)/10000,AD66+MID(AD$6,FIND("V",AD$6)+1,256)/10000)</f>
        <v>0.0005</v>
      </c>
      <c r="AZ66" s="235">
        <f>IF(AE66="  ",0+MID(AE$6,FIND("V",AE$6)+1,256)/10000,AE66+MID(AE$6,FIND("V",AE$6)+1,256)/10000)</f>
        <v>0.0006</v>
      </c>
      <c r="BA66" s="235">
        <f>IF(AF66="  ",0+MID(AF$6,FIND("V",AF$6)+1,256)/10000,AF66+MID(AF$6,FIND("V",AF$6)+1,256)/10000)</f>
        <v>0.0007</v>
      </c>
      <c r="BB66" s="235">
        <f>IF(AG66="  ",0+MID(AG$6,FIND("V",AG$6)+1,256)/10000,AG66+MID(AG$6,FIND("V",AG$6)+1,256)/10000)</f>
        <v>0.0008</v>
      </c>
      <c r="BC66" s="235">
        <f>IF(AH66="  ",0+MID(AH$6,FIND("V",AH$6)+1,256)/10000,AH66+MID(AH$6,FIND("V",AH$6)+1,256)/10000)</f>
        <v>0.0009</v>
      </c>
      <c r="BD66" s="235">
        <f>IF(AI66="  ",0+MID(AI$6,FIND("V",AI$6)+1,256)/10000,AI66+MID(AI$6,FIND("V",AI$6)+1,256)/10000)</f>
        <v>0.001</v>
      </c>
      <c r="BE66" s="233"/>
      <c r="BF66" s="233"/>
      <c r="BG66" s="233"/>
      <c r="BH66" s="233"/>
      <c r="BI66" s="3" t="e">
        <f>(LARGE(Z$7:Z$126,1)-Z66)/2+1</f>
        <v>#VALUE!</v>
      </c>
      <c r="BJ66" s="3" t="e">
        <f>(LARGE(AA$7:AA$126,1)-AA66)/2+1</f>
        <v>#VALUE!</v>
      </c>
      <c r="BK66" s="3" t="e">
        <f>(LARGE(AB$7:AB$126,1)-AB66)/2+1</f>
        <v>#VALUE!</v>
      </c>
      <c r="BL66" s="3" t="e">
        <f>(LARGE(AC$7:AC$126,1)-AC66)/2+1</f>
        <v>#VALUE!</v>
      </c>
      <c r="BM66" s="3" t="e">
        <f>(LARGE(AD$7:AD$126,1)-AD66)/2+1</f>
        <v>#VALUE!</v>
      </c>
      <c r="BN66" s="3" t="e">
        <f>(LARGE(AE$7:AE$126,1)-AE66)/2+1</f>
        <v>#VALUE!</v>
      </c>
      <c r="BO66" s="3" t="e">
        <f>(LARGE(AF$7:AF$126,1)-AF66)/2+1</f>
        <v>#VALUE!</v>
      </c>
      <c r="BP66" s="3" t="e">
        <f>(LARGE(AG$7:AG$126,1)-AG66)/2+1</f>
        <v>#VALUE!</v>
      </c>
      <c r="BQ66" s="3" t="e">
        <f>(LARGE(AH$7:AH$126,1)-AH66)/2+1</f>
        <v>#NUM!</v>
      </c>
      <c r="BR66" s="3" t="e">
        <f>(LARGE(AI$7:AI$126,1)-AI66)/2+1</f>
        <v>#NUM!</v>
      </c>
    </row>
    <row r="67" ht="12.75" hidden="1" customHeight="1" spans="1:70">
      <c r="A67" s="139" t="str">
        <f>IF(R67&gt;0,IF(Q67="Viru SK",RANK(B67,B$7:B$126,1)-COUNTIF((Q$7:Q$126),"&lt;&gt;Viru SK"),""),"")</f>
        <v/>
      </c>
      <c r="B67" s="140">
        <f>IF((Q67="Viru SK"),U67,U67-1000)</f>
        <v>-880</v>
      </c>
      <c r="C67" s="141" t="str">
        <f>IF(R67&gt;0,IF(P67="t",RANK(D67,D$7:D$126,1)-COUNTBLANK(P$7:P$126),""),"")</f>
        <v/>
      </c>
      <c r="D67" s="142">
        <f>IF((P67="t"),U67,U67-1000)</f>
        <v>-880</v>
      </c>
      <c r="E67" s="143" t="str">
        <f>IF(R67&gt;0,IF(N67="m",RANK(F67,F$7:F$126,1)-COUNTBLANK(N$7:N$126),""),"")</f>
        <v/>
      </c>
      <c r="F67" s="144">
        <f>IF((N67="m"),U67,U67-1000)</f>
        <v>120</v>
      </c>
      <c r="G67" s="145" t="str">
        <f>IF(R67&gt;0,IF(M67="n",RANK(H67,H$7:H$126,1)-COUNTBLANK(M$7:M$126),""),"")</f>
        <v/>
      </c>
      <c r="H67" s="144">
        <f>IF((M67="n"),U67,U67-1000)</f>
        <v>-880</v>
      </c>
      <c r="I67" s="160" t="str">
        <f>IF(R67&gt;0,IF(O67="j",RANK(J67,J$7:J$126,1)-COUNTBLANK(O$7:O$126),""),"")</f>
        <v/>
      </c>
      <c r="J67" s="161">
        <f>IF((O67="j"),U67,U67-1000)</f>
        <v>-880</v>
      </c>
      <c r="K67" s="162" t="str">
        <f>IF(R67&gt;0,RANK(U67,U$7:U$126,1),"")</f>
        <v/>
      </c>
      <c r="L67" s="163" t="s">
        <v>257</v>
      </c>
      <c r="M67" s="164"/>
      <c r="N67" s="165" t="s">
        <v>193</v>
      </c>
      <c r="O67" s="166"/>
      <c r="P67" s="167"/>
      <c r="Q67" s="192"/>
      <c r="R67" s="154">
        <f>(IF(COUNT(Z67,AA67,AB67,AC67,AD67,AE67,AF67,AG67,AH67,AI67)&lt;10,SUM(Z67,AA67,AB67,AC67,AD67,AE67,AF67,AG67,AH67,AI67),SUM(LARGE((Z67,AA67,AB67,AC67,AD67,AE67,AF67,AG67,AH67,AI67),{1;2;3;4;5;6;7;8;9}))))</f>
        <v>0</v>
      </c>
      <c r="S67" s="193" t="str">
        <f>INDEX(ETAPP!B$1:B$32,MATCH(COUNTIF(BI67:BR67,1),ETAPP!A$1:A$32,0))&amp;INDEX(ETAPP!B$1:B$32,MATCH(COUNTIF(BI67:BR67,2),ETAPP!A$1:A$32,0))&amp;INDEX(ETAPP!B$1:B$32,MATCH(COUNTIF(BI67:BR67,3),ETAPP!A$1:A$32,0))&amp;INDEX(ETAPP!B$1:B$32,MATCH(COUNTIF(BI67:BR67,4),ETAPP!A$1:A$32,0))&amp;INDEX(ETAPP!B$1:B$32,MATCH(COUNTIF(BI67:BR67,5),ETAPP!A$1:A$32,0))&amp;INDEX(ETAPP!B$1:B$32,MATCH(COUNTIF(BI67:BR67,6),ETAPP!A$1:A$32,0))&amp;INDEX(ETAPP!B$1:B$32,MATCH(COUNTIF(BI67:BR67,7),ETAPP!A$1:A$32,0))&amp;INDEX(ETAPP!B$1:B$32,MATCH(COUNTIF(BI67:BR67,8),ETAPP!A$1:A$32,0))&amp;INDEX(ETAPP!B$1:B$32,MATCH(COUNTIF(BI67:BR67,9),ETAPP!A$1:A$32,0))&amp;INDEX(ETAPP!B$1:B$32,MATCH(COUNTIF(BI67:BR67,10),ETAPP!A$1:A$32,0))&amp;INDEX(ETAPP!B$1:B$32,MATCH(COUNTIF(BI67:BR67,11),ETAPP!A$1:A$32,0))&amp;INDEX(ETAPP!B$1:B$32,MATCH(COUNTIF(BI67:BR67,12),ETAPP!A$1:A$32,0))&amp;INDEX(ETAPP!B$1:B$32,MATCH(COUNTIF(BI67:BR67,13),ETAPP!A$1:A$32,0))&amp;INDEX(ETAPP!B$1:B$32,MATCH(COUNTIF(BI67:BR67,14),ETAPP!A$1:A$32,0))&amp;INDEX(ETAPP!B$1:B$32,MATCH(COUNTIF(BI67:BR67,15),ETAPP!A$1:A$32,0))&amp;INDEX(ETAPP!B$1:B$32,MATCH(COUNTIF(BI67:BR67,16),ETAPP!A$1:A$32,0))&amp;INDEX(ETAPP!B$1:B$32,MATCH(COUNTIF(BI67:BR67,17),ETAPP!A$1:A$32,0))&amp;INDEX(ETAPP!B$1:B$32,MATCH(COUNTIF(BI67:BR67,18),ETAPP!A$1:A$32,0))&amp;INDEX(ETAPP!B$1:B$32,MATCH(COUNTIF(BI67:BR67,19),ETAPP!A$1:A$32,0))&amp;INDEX(ETAPP!B$1:B$32,MATCH(COUNTIF(BI67:BR67,20),ETAPP!A$1:A$32,0))&amp;INDEX(ETAPP!B$1:B$32,MATCH(COUNTIF(BI67:BR67,21),ETAPP!A$1:A$32,0))</f>
        <v>000000000000000000000</v>
      </c>
      <c r="T67" s="193" t="str">
        <f>TEXT(R67,"000,0")&amp;"-"&amp;S67</f>
        <v>000,0-000000000000000000000</v>
      </c>
      <c r="U67" s="193">
        <f>COUNTIF(T$7:T$126,"&gt;="&amp;T67)</f>
        <v>120</v>
      </c>
      <c r="V67" s="193">
        <f>COUNTIF(L$7:L$126,"&gt;="&amp;L67)</f>
        <v>108</v>
      </c>
      <c r="W67" s="193" t="str">
        <f>TEXT(R67,"000,0")&amp;"-"&amp;S67&amp;"-"&amp;TEXT(V67,"000")</f>
        <v>000,0-000000000000000000000-108</v>
      </c>
      <c r="X67" s="193">
        <f>COUNTIF(W$7:W$126,"&gt;="&amp;W67)</f>
        <v>61</v>
      </c>
      <c r="Y67" s="201">
        <f>RANK(X67,X$7:X$126,0)</f>
        <v>60</v>
      </c>
      <c r="Z67" s="202" t="str">
        <f>IFERROR(INDEX('V1'!C$300:C$400,MATCH("*"&amp;L67&amp;"*",'V1'!B$300:B$400,0)),"  ")</f>
        <v>  </v>
      </c>
      <c r="AA67" s="202" t="str">
        <f>IFERROR(INDEX('V2'!C$300:C$400,MATCH("*"&amp;L67&amp;"*",'V2'!B$300:B$400,0)),"  ")</f>
        <v>  </v>
      </c>
      <c r="AB67" s="202" t="str">
        <f>IFERROR(INDEX('V3'!C$300:C$400,MATCH("*"&amp;L67&amp;"*",'V3'!B$300:B$400,0)),"  ")</f>
        <v>  </v>
      </c>
      <c r="AC67" s="202" t="str">
        <f>IFERROR(INDEX('V4'!C$300:C$400,MATCH("*"&amp;L67&amp;"*",'V4'!B$300:B$400,0)),"  ")</f>
        <v>  </v>
      </c>
      <c r="AD67" s="202" t="str">
        <f>IFERROR(INDEX('V5'!C$300:C$400,MATCH("*"&amp;L67&amp;"*",'V5'!B$300:B$400,0)),"  ")</f>
        <v>  </v>
      </c>
      <c r="AE67" s="202" t="str">
        <f>IFERROR(INDEX('V6'!C$300:C$400,MATCH("*"&amp;L67&amp;"*",'V6'!B$300:B$400,0)),"  ")</f>
        <v>  </v>
      </c>
      <c r="AF67" s="202" t="str">
        <f>IFERROR(INDEX('V7'!C$300:C$400,MATCH("*"&amp;L67&amp;"*",'V7'!B$300:B$400,0)),"  ")</f>
        <v>  </v>
      </c>
      <c r="AG67" s="202" t="str">
        <f>IFERROR(INDEX('V8'!C$300:C$400,MATCH("*"&amp;L67&amp;"*",'V8'!B$300:B$400,0)),"  ")</f>
        <v>  </v>
      </c>
      <c r="AH67" s="202"/>
      <c r="AI67" s="202"/>
      <c r="AJ67" s="222" t="str">
        <f>IF(AN67&gt;(AT$2-1),K67,"")</f>
        <v/>
      </c>
      <c r="AK67" s="223">
        <f>SUM(Z67:AI67)</f>
        <v>0</v>
      </c>
      <c r="AL67" s="224" t="str">
        <f>IFERROR("edasi "&amp;RANK(AJ67,AJ$7:AJ$126,1),K67)</f>
        <v/>
      </c>
      <c r="AM67" s="225" t="str">
        <f>IFERROR(INDEX(#REF!,MATCH("*"&amp;L67&amp;"*",#REF!,0)),"  ")</f>
        <v>  </v>
      </c>
      <c r="AN67" s="226">
        <f>COUNTIF(Z67:AI67,"&gt;=0")</f>
        <v>0</v>
      </c>
      <c r="AO67" s="126">
        <f>IFERROR(IF(Z67+1&gt;LARGE(Z$7:Z$126,1)-2*LEN(Z$5),1),0)+IFERROR(IF(AA67+1&gt;LARGE(AA$7:AA$126,1)-2*LEN(AA$5),1),0)+IFERROR(IF(AB67+1&gt;LARGE(AB$7:AB$126,1)-2*LEN(AB$5),1),0)+IFERROR(IF(AC67+1&gt;LARGE(AC$7:AC$126,1)-2*LEN(AC$5),1),0)+IFERROR(IF(AD67+1&gt;LARGE(AD$7:AD$126,1)-2*LEN(AD$5),1),0)+IFERROR(IF(AE67+1&gt;LARGE(AE$7:AE$126,1)-2*LEN(AE$5),1),0)+IFERROR(IF(AF67+1&gt;LARGE(AF$7:AF$126,1)-2*LEN(AF$5),1),0)+IFERROR(IF(AG67+1&gt;LARGE(AG$7:AG$126,1)-2*LEN(AG$5),1),0)+IFERROR(IF(AH67+1&gt;LARGE(AH$7:AH$126,1)-2*LEN(AH$5),1),0)+IFERROR(IF(AI67+1&gt;LARGE(AI$7:AI$126,1)-2*LEN(AI$5),1),0)</f>
        <v>0</v>
      </c>
      <c r="AP67" s="126">
        <f>IF(Z67=0,0,IF(Z67=IFERROR(LARGE(Z$7:Z$126,1),0),1,0))+IF(AA67=0,0,IF(AA67=IFERROR(LARGE(AA$7:AA$126,1),0),1,0))+IF(AB67=0,0,IF(AB67=IFERROR(LARGE(AB$7:AB$126,1),0),1,0))+IF(AC67=0,0,IF(AC67=IFERROR(LARGE(AC$7:AC$126,1),0),1,0))+IF(AD67=0,0,IF(AD67=IFERROR(LARGE(AD$7:AD$126,1),0),1,0))+IF(AE67=0,0,IF(AE67=IFERROR(LARGE(AE$7:AE$126,1),0),1,0))+IF(AF67=0,0,IF(AF67=IFERROR(LARGE(AF$7:AF$126,1),0),1,0))+IF(AG67=0,0,IF(AG67=IFERROR(LARGE(AG$7:AG$126,1),0),1,0))+IF(AH67=0,0,IF(AH67=IFERROR(LARGE(AH$7:AH$126,1),0),1,0))+IF(AI67=0,0,IF(AI67=IFERROR(LARGE(AI$7:AI$126,1),0),1,0))</f>
        <v>0</v>
      </c>
      <c r="AQ67" s="233"/>
      <c r="AR67" s="233"/>
      <c r="AS67" s="233"/>
      <c r="AT67" s="234">
        <f>SMALL(AU67:BD67,AT$3)</f>
        <v>0.0001</v>
      </c>
      <c r="AU67" s="235">
        <f>IF(Z67="  ",0+MID(Z$6,FIND("V",Z$6)+1,256)/10000,Z67+MID(Z$6,FIND("V",Z$6)+1,256)/10000)</f>
        <v>0.0001</v>
      </c>
      <c r="AV67" s="235">
        <f>IF(AA67="  ",0+MID(AA$6,FIND("V",AA$6)+1,256)/10000,AA67+MID(AA$6,FIND("V",AA$6)+1,256)/10000)</f>
        <v>0.0002</v>
      </c>
      <c r="AW67" s="235">
        <f>IF(AB67="  ",0+MID(AB$6,FIND("V",AB$6)+1,256)/10000,AB67+MID(AB$6,FIND("V",AB$6)+1,256)/10000)</f>
        <v>0.0003</v>
      </c>
      <c r="AX67" s="235">
        <f>IF(AC67="  ",0+MID(AC$6,FIND("V",AC$6)+1,256)/10000,AC67+MID(AC$6,FIND("V",AC$6)+1,256)/10000)</f>
        <v>0.0004</v>
      </c>
      <c r="AY67" s="235">
        <f>IF(AD67="  ",0+MID(AD$6,FIND("V",AD$6)+1,256)/10000,AD67+MID(AD$6,FIND("V",AD$6)+1,256)/10000)</f>
        <v>0.0005</v>
      </c>
      <c r="AZ67" s="235">
        <f>IF(AE67="  ",0+MID(AE$6,FIND("V",AE$6)+1,256)/10000,AE67+MID(AE$6,FIND("V",AE$6)+1,256)/10000)</f>
        <v>0.0006</v>
      </c>
      <c r="BA67" s="235">
        <f>IF(AF67="  ",0+MID(AF$6,FIND("V",AF$6)+1,256)/10000,AF67+MID(AF$6,FIND("V",AF$6)+1,256)/10000)</f>
        <v>0.0007</v>
      </c>
      <c r="BB67" s="235">
        <f>IF(AG67="  ",0+MID(AG$6,FIND("V",AG$6)+1,256)/10000,AG67+MID(AG$6,FIND("V",AG$6)+1,256)/10000)</f>
        <v>0.0008</v>
      </c>
      <c r="BC67" s="235">
        <f>IF(AH67="  ",0+MID(AH$6,FIND("V",AH$6)+1,256)/10000,AH67+MID(AH$6,FIND("V",AH$6)+1,256)/10000)</f>
        <v>0.0009</v>
      </c>
      <c r="BD67" s="235">
        <f>IF(AI67="  ",0+MID(AI$6,FIND("V",AI$6)+1,256)/10000,AI67+MID(AI$6,FIND("V",AI$6)+1,256)/10000)</f>
        <v>0.001</v>
      </c>
      <c r="BE67" s="233"/>
      <c r="BF67" s="233"/>
      <c r="BG67" s="233"/>
      <c r="BH67" s="233"/>
      <c r="BI67" s="3" t="e">
        <f>(LARGE(Z$7:Z$126,1)-Z67)/2+1</f>
        <v>#VALUE!</v>
      </c>
      <c r="BJ67" s="3" t="e">
        <f>(LARGE(AA$7:AA$126,1)-AA67)/2+1</f>
        <v>#VALUE!</v>
      </c>
      <c r="BK67" s="3" t="e">
        <f>(LARGE(AB$7:AB$126,1)-AB67)/2+1</f>
        <v>#VALUE!</v>
      </c>
      <c r="BL67" s="3" t="e">
        <f>(LARGE(AC$7:AC$126,1)-AC67)/2+1</f>
        <v>#VALUE!</v>
      </c>
      <c r="BM67" s="3" t="e">
        <f>(LARGE(AD$7:AD$126,1)-AD67)/2+1</f>
        <v>#VALUE!</v>
      </c>
      <c r="BN67" s="3" t="e">
        <f>(LARGE(AE$7:AE$126,1)-AE67)/2+1</f>
        <v>#VALUE!</v>
      </c>
      <c r="BO67" s="3" t="e">
        <f>(LARGE(AF$7:AF$126,1)-AF67)/2+1</f>
        <v>#VALUE!</v>
      </c>
      <c r="BP67" s="3" t="e">
        <f>(LARGE(AG$7:AG$126,1)-AG67)/2+1</f>
        <v>#VALUE!</v>
      </c>
      <c r="BQ67" s="3" t="e">
        <f>(LARGE(AH$7:AH$126,1)-AH67)/2+1</f>
        <v>#NUM!</v>
      </c>
      <c r="BR67" s="3" t="e">
        <f>(LARGE(AI$7:AI$126,1)-AI67)/2+1</f>
        <v>#NUM!</v>
      </c>
    </row>
    <row r="68" ht="12.75" hidden="1" customHeight="1" spans="1:70">
      <c r="A68" s="139" t="str">
        <f>IF(R68&gt;0,IF(Q68="Viru SK",RANK(B68,B$7:B$126,1)-COUNTIF((Q$7:Q$126),"&lt;&gt;Viru SK"),""),"")</f>
        <v/>
      </c>
      <c r="B68" s="140">
        <f>IF((Q68="Viru SK"),U68,U68-1000)</f>
        <v>-880</v>
      </c>
      <c r="C68" s="141" t="str">
        <f>IF(R68&gt;0,IF(P68="t",RANK(D68,D$7:D$126,1)-COUNTBLANK(P$7:P$126),""),"")</f>
        <v/>
      </c>
      <c r="D68" s="142">
        <f>IF((P68="t"),U68,U68-1000)</f>
        <v>-880</v>
      </c>
      <c r="E68" s="143" t="str">
        <f>IF(R68&gt;0,IF(N68="m",RANK(F68,F$7:F$126,1)-COUNTBLANK(N$7:N$126),""),"")</f>
        <v/>
      </c>
      <c r="F68" s="144">
        <f>IF((N68="m"),U68,U68-1000)</f>
        <v>-880</v>
      </c>
      <c r="G68" s="145" t="str">
        <f>IF(R68&gt;0,IF(M68="n",RANK(H68,H$7:H$126,1)-COUNTBLANK(M$7:M$126),""),"")</f>
        <v/>
      </c>
      <c r="H68" s="144">
        <f>IF((M68="n"),U68,U68-1000)</f>
        <v>120</v>
      </c>
      <c r="I68" s="160" t="str">
        <f>IF(R68&gt;0,IF(O68="j",RANK(J68,J$7:J$126,1)-COUNTBLANK(O$7:O$126),""),"")</f>
        <v/>
      </c>
      <c r="J68" s="161">
        <f>IF((O68="j"),U68,U68-1000)</f>
        <v>-880</v>
      </c>
      <c r="K68" s="162" t="str">
        <f>IF(R68&gt;0,RANK(U68,U$7:U$126,1),"")</f>
        <v/>
      </c>
      <c r="L68" s="163" t="s">
        <v>258</v>
      </c>
      <c r="M68" s="164" t="s">
        <v>203</v>
      </c>
      <c r="N68" s="165" t="str">
        <f>IF(M68="","m","")</f>
        <v/>
      </c>
      <c r="O68" s="166"/>
      <c r="P68" s="167"/>
      <c r="Q68" s="192"/>
      <c r="R68" s="154">
        <f>(IF(COUNT(Z68,AA68,AB68,AC68,AD68,AE68,AF68,AG68,AH68,AI68)&lt;10,SUM(Z68,AA68,AB68,AC68,AD68,AE68,AF68,AG68,AH68,AI68),SUM(LARGE((Z68,AA68,AB68,AC68,AD68,AE68,AF68,AG68,AH68,AI68),{1;2;3;4;5;6;7;8;9}))))</f>
        <v>0</v>
      </c>
      <c r="S68" s="193" t="str">
        <f>INDEX(ETAPP!B$1:B$32,MATCH(COUNTIF(BI68:BR68,1),ETAPP!A$1:A$32,0))&amp;INDEX(ETAPP!B$1:B$32,MATCH(COUNTIF(BI68:BR68,2),ETAPP!A$1:A$32,0))&amp;INDEX(ETAPP!B$1:B$32,MATCH(COUNTIF(BI68:BR68,3),ETAPP!A$1:A$32,0))&amp;INDEX(ETAPP!B$1:B$32,MATCH(COUNTIF(BI68:BR68,4),ETAPP!A$1:A$32,0))&amp;INDEX(ETAPP!B$1:B$32,MATCH(COUNTIF(BI68:BR68,5),ETAPP!A$1:A$32,0))&amp;INDEX(ETAPP!B$1:B$32,MATCH(COUNTIF(BI68:BR68,6),ETAPP!A$1:A$32,0))&amp;INDEX(ETAPP!B$1:B$32,MATCH(COUNTIF(BI68:BR68,7),ETAPP!A$1:A$32,0))&amp;INDEX(ETAPP!B$1:B$32,MATCH(COUNTIF(BI68:BR68,8),ETAPP!A$1:A$32,0))&amp;INDEX(ETAPP!B$1:B$32,MATCH(COUNTIF(BI68:BR68,9),ETAPP!A$1:A$32,0))&amp;INDEX(ETAPP!B$1:B$32,MATCH(COUNTIF(BI68:BR68,10),ETAPP!A$1:A$32,0))&amp;INDEX(ETAPP!B$1:B$32,MATCH(COUNTIF(BI68:BR68,11),ETAPP!A$1:A$32,0))&amp;INDEX(ETAPP!B$1:B$32,MATCH(COUNTIF(BI68:BR68,12),ETAPP!A$1:A$32,0))&amp;INDEX(ETAPP!B$1:B$32,MATCH(COUNTIF(BI68:BR68,13),ETAPP!A$1:A$32,0))&amp;INDEX(ETAPP!B$1:B$32,MATCH(COUNTIF(BI68:BR68,14),ETAPP!A$1:A$32,0))&amp;INDEX(ETAPP!B$1:B$32,MATCH(COUNTIF(BI68:BR68,15),ETAPP!A$1:A$32,0))&amp;INDEX(ETAPP!B$1:B$32,MATCH(COUNTIF(BI68:BR68,16),ETAPP!A$1:A$32,0))&amp;INDEX(ETAPP!B$1:B$32,MATCH(COUNTIF(BI68:BR68,17),ETAPP!A$1:A$32,0))&amp;INDEX(ETAPP!B$1:B$32,MATCH(COUNTIF(BI68:BR68,18),ETAPP!A$1:A$32,0))&amp;INDEX(ETAPP!B$1:B$32,MATCH(COUNTIF(BI68:BR68,19),ETAPP!A$1:A$32,0))&amp;INDEX(ETAPP!B$1:B$32,MATCH(COUNTIF(BI68:BR68,20),ETAPP!A$1:A$32,0))&amp;INDEX(ETAPP!B$1:B$32,MATCH(COUNTIF(BI68:BR68,21),ETAPP!A$1:A$32,0))</f>
        <v>000000000000000000000</v>
      </c>
      <c r="T68" s="193" t="str">
        <f>TEXT(R68,"000,0")&amp;"-"&amp;S68</f>
        <v>000,0-000000000000000000000</v>
      </c>
      <c r="U68" s="193">
        <f>COUNTIF(T$7:T$126,"&gt;="&amp;T68)</f>
        <v>120</v>
      </c>
      <c r="V68" s="193">
        <f>COUNTIF(L$7:L$126,"&gt;="&amp;L68)</f>
        <v>107</v>
      </c>
      <c r="W68" s="193" t="str">
        <f>TEXT(R68,"000,0")&amp;"-"&amp;S68&amp;"-"&amp;TEXT(V68,"000")</f>
        <v>000,0-000000000000000000000-107</v>
      </c>
      <c r="X68" s="193">
        <f>COUNTIF(W$7:W$126,"&gt;="&amp;W68)</f>
        <v>62</v>
      </c>
      <c r="Y68" s="201">
        <f>RANK(X68,X$7:X$126,0)</f>
        <v>59</v>
      </c>
      <c r="Z68" s="202" t="str">
        <f>IFERROR(INDEX('V1'!C$300:C$400,MATCH("*"&amp;L68&amp;"*",'V1'!B$300:B$400,0)),"  ")</f>
        <v>  </v>
      </c>
      <c r="AA68" s="202" t="str">
        <f>IFERROR(INDEX('V2'!C$300:C$400,MATCH("*"&amp;L68&amp;"*",'V2'!B$300:B$400,0)),"  ")</f>
        <v>  </v>
      </c>
      <c r="AB68" s="202" t="str">
        <f>IFERROR(INDEX('V3'!C$300:C$400,MATCH("*"&amp;L68&amp;"*",'V3'!B$300:B$400,0)),"  ")</f>
        <v>  </v>
      </c>
      <c r="AC68" s="202" t="str">
        <f>IFERROR(INDEX('V4'!C$300:C$400,MATCH("*"&amp;L68&amp;"*",'V4'!B$300:B$400,0)),"  ")</f>
        <v>  </v>
      </c>
      <c r="AD68" s="202" t="str">
        <f>IFERROR(INDEX('V5'!C$300:C$400,MATCH("*"&amp;L68&amp;"*",'V5'!B$300:B$400,0)),"  ")</f>
        <v>  </v>
      </c>
      <c r="AE68" s="202" t="str">
        <f>IFERROR(INDEX('V6'!C$300:C$400,MATCH("*"&amp;L68&amp;"*",'V6'!B$300:B$400,0)),"  ")</f>
        <v>  </v>
      </c>
      <c r="AF68" s="202" t="str">
        <f>IFERROR(INDEX('V7'!C$300:C$400,MATCH("*"&amp;L68&amp;"*",'V7'!B$300:B$400,0)),"  ")</f>
        <v>  </v>
      </c>
      <c r="AG68" s="202" t="str">
        <f>IFERROR(INDEX('V8'!C$300:C$400,MATCH("*"&amp;L68&amp;"*",'V8'!B$300:B$400,0)),"  ")</f>
        <v>  </v>
      </c>
      <c r="AH68" s="202"/>
      <c r="AI68" s="202"/>
      <c r="AJ68" s="222" t="str">
        <f>IF(AN68&gt;(AT$2-1),K68,"")</f>
        <v/>
      </c>
      <c r="AK68" s="223">
        <f>SUM(Z68:AI68)</f>
        <v>0</v>
      </c>
      <c r="AL68" s="224" t="str">
        <f>IFERROR("edasi "&amp;RANK(AJ68,AJ$7:AJ$126,1),K68)</f>
        <v/>
      </c>
      <c r="AM68" s="225" t="str">
        <f>IFERROR(INDEX(#REF!,MATCH("*"&amp;L68&amp;"*",#REF!,0)),"  ")</f>
        <v>  </v>
      </c>
      <c r="AN68" s="226">
        <f>COUNTIF(Z68:AI68,"&gt;=0")</f>
        <v>0</v>
      </c>
      <c r="AO68" s="126">
        <f>IFERROR(IF(Z68+1&gt;LARGE(Z$7:Z$126,1)-2*LEN(Z$5),1),0)+IFERROR(IF(AA68+1&gt;LARGE(AA$7:AA$126,1)-2*LEN(AA$5),1),0)+IFERROR(IF(AB68+1&gt;LARGE(AB$7:AB$126,1)-2*LEN(AB$5),1),0)+IFERROR(IF(AC68+1&gt;LARGE(AC$7:AC$126,1)-2*LEN(AC$5),1),0)+IFERROR(IF(AD68+1&gt;LARGE(AD$7:AD$126,1)-2*LEN(AD$5),1),0)+IFERROR(IF(AE68+1&gt;LARGE(AE$7:AE$126,1)-2*LEN(AE$5),1),0)+IFERROR(IF(AF68+1&gt;LARGE(AF$7:AF$126,1)-2*LEN(AF$5),1),0)+IFERROR(IF(AG68+1&gt;LARGE(AG$7:AG$126,1)-2*LEN(AG$5),1),0)+IFERROR(IF(AH68+1&gt;LARGE(AH$7:AH$126,1)-2*LEN(AH$5),1),0)+IFERROR(IF(AI68+1&gt;LARGE(AI$7:AI$126,1)-2*LEN(AI$5),1),0)</f>
        <v>0</v>
      </c>
      <c r="AP68" s="126">
        <f>IF(Z68=0,0,IF(Z68=IFERROR(LARGE(Z$7:Z$126,1),0),1,0))+IF(AA68=0,0,IF(AA68=IFERROR(LARGE(AA$7:AA$126,1),0),1,0))+IF(AB68=0,0,IF(AB68=IFERROR(LARGE(AB$7:AB$126,1),0),1,0))+IF(AC68=0,0,IF(AC68=IFERROR(LARGE(AC$7:AC$126,1),0),1,0))+IF(AD68=0,0,IF(AD68=IFERROR(LARGE(AD$7:AD$126,1),0),1,0))+IF(AE68=0,0,IF(AE68=IFERROR(LARGE(AE$7:AE$126,1),0),1,0))+IF(AF68=0,0,IF(AF68=IFERROR(LARGE(AF$7:AF$126,1),0),1,0))+IF(AG68=0,0,IF(AG68=IFERROR(LARGE(AG$7:AG$126,1),0),1,0))+IF(AH68=0,0,IF(AH68=IFERROR(LARGE(AH$7:AH$126,1),0),1,0))+IF(AI68=0,0,IF(AI68=IFERROR(LARGE(AI$7:AI$126,1),0),1,0))</f>
        <v>0</v>
      </c>
      <c r="AQ68" s="233"/>
      <c r="AR68" s="233"/>
      <c r="AS68" s="233"/>
      <c r="AT68" s="234">
        <f>SMALL(AU68:BD68,AT$3)</f>
        <v>0.0001</v>
      </c>
      <c r="AU68" s="235">
        <f>IF(Z68="  ",0+MID(Z$6,FIND("V",Z$6)+1,256)/10000,Z68+MID(Z$6,FIND("V",Z$6)+1,256)/10000)</f>
        <v>0.0001</v>
      </c>
      <c r="AV68" s="235">
        <f>IF(AA68="  ",0+MID(AA$6,FIND("V",AA$6)+1,256)/10000,AA68+MID(AA$6,FIND("V",AA$6)+1,256)/10000)</f>
        <v>0.0002</v>
      </c>
      <c r="AW68" s="235">
        <f>IF(AB68="  ",0+MID(AB$6,FIND("V",AB$6)+1,256)/10000,AB68+MID(AB$6,FIND("V",AB$6)+1,256)/10000)</f>
        <v>0.0003</v>
      </c>
      <c r="AX68" s="235">
        <f>IF(AC68="  ",0+MID(AC$6,FIND("V",AC$6)+1,256)/10000,AC68+MID(AC$6,FIND("V",AC$6)+1,256)/10000)</f>
        <v>0.0004</v>
      </c>
      <c r="AY68" s="235">
        <f>IF(AD68="  ",0+MID(AD$6,FIND("V",AD$6)+1,256)/10000,AD68+MID(AD$6,FIND("V",AD$6)+1,256)/10000)</f>
        <v>0.0005</v>
      </c>
      <c r="AZ68" s="235">
        <f>IF(AE68="  ",0+MID(AE$6,FIND("V",AE$6)+1,256)/10000,AE68+MID(AE$6,FIND("V",AE$6)+1,256)/10000)</f>
        <v>0.0006</v>
      </c>
      <c r="BA68" s="235">
        <f>IF(AF68="  ",0+MID(AF$6,FIND("V",AF$6)+1,256)/10000,AF68+MID(AF$6,FIND("V",AF$6)+1,256)/10000)</f>
        <v>0.0007</v>
      </c>
      <c r="BB68" s="235">
        <f>IF(AG68="  ",0+MID(AG$6,FIND("V",AG$6)+1,256)/10000,AG68+MID(AG$6,FIND("V",AG$6)+1,256)/10000)</f>
        <v>0.0008</v>
      </c>
      <c r="BC68" s="235">
        <f>IF(AH68="  ",0+MID(AH$6,FIND("V",AH$6)+1,256)/10000,AH68+MID(AH$6,FIND("V",AH$6)+1,256)/10000)</f>
        <v>0.0009</v>
      </c>
      <c r="BD68" s="235">
        <f>IF(AI68="  ",0+MID(AI$6,FIND("V",AI$6)+1,256)/10000,AI68+MID(AI$6,FIND("V",AI$6)+1,256)/10000)</f>
        <v>0.001</v>
      </c>
      <c r="BE68" s="233"/>
      <c r="BF68" s="233"/>
      <c r="BG68" s="233"/>
      <c r="BH68" s="233"/>
      <c r="BI68" s="3" t="e">
        <f>(LARGE(Z$7:Z$126,1)-Z68)/2+1</f>
        <v>#VALUE!</v>
      </c>
      <c r="BJ68" s="3" t="e">
        <f>(LARGE(AA$7:AA$126,1)-AA68)/2+1</f>
        <v>#VALUE!</v>
      </c>
      <c r="BK68" s="3" t="e">
        <f>(LARGE(AB$7:AB$126,1)-AB68)/2+1</f>
        <v>#VALUE!</v>
      </c>
      <c r="BL68" s="3" t="e">
        <f>(LARGE(AC$7:AC$126,1)-AC68)/2+1</f>
        <v>#VALUE!</v>
      </c>
      <c r="BM68" s="3" t="e">
        <f>(LARGE(AD$7:AD$126,1)-AD68)/2+1</f>
        <v>#VALUE!</v>
      </c>
      <c r="BN68" s="3" t="e">
        <f>(LARGE(AE$7:AE$126,1)-AE68)/2+1</f>
        <v>#VALUE!</v>
      </c>
      <c r="BO68" s="3" t="e">
        <f>(LARGE(AF$7:AF$126,1)-AF68)/2+1</f>
        <v>#VALUE!</v>
      </c>
      <c r="BP68" s="3" t="e">
        <f>(LARGE(AG$7:AG$126,1)-AG68)/2+1</f>
        <v>#VALUE!</v>
      </c>
      <c r="BQ68" s="3" t="e">
        <f>(LARGE(AH$7:AH$126,1)-AH68)/2+1</f>
        <v>#NUM!</v>
      </c>
      <c r="BR68" s="3" t="e">
        <f>(LARGE(AI$7:AI$126,1)-AI68)/2+1</f>
        <v>#NUM!</v>
      </c>
    </row>
    <row r="69" ht="12.75" hidden="1" customHeight="1" spans="1:70">
      <c r="A69" s="139" t="str">
        <f>IF(R69&gt;0,IF(Q69="Viru SK",RANK(B69,B$7:B$126,1)-COUNTIF((Q$7:Q$126),"&lt;&gt;Viru SK"),""),"")</f>
        <v/>
      </c>
      <c r="B69" s="140">
        <f>IF((Q69="Viru SK"),U69,U69-1000)</f>
        <v>120</v>
      </c>
      <c r="C69" s="141" t="str">
        <f>IF(R69&gt;0,IF(P69="t",RANK(D69,D$7:D$126,1)-COUNTBLANK(P$7:P$126),""),"")</f>
        <v/>
      </c>
      <c r="D69" s="142">
        <f>IF((P69="t"),U69,U69-1000)</f>
        <v>-880</v>
      </c>
      <c r="E69" s="143" t="str">
        <f>IF(R69&gt;0,IF(N69="m",RANK(F69,F$7:F$126,1)-COUNTBLANK(N$7:N$126),""),"")</f>
        <v/>
      </c>
      <c r="F69" s="144">
        <f>IF((N69="m"),U69,U69-1000)</f>
        <v>120</v>
      </c>
      <c r="G69" s="145" t="str">
        <f>IF(R69&gt;0,IF(M69="n",RANK(H69,H$7:H$126,1)-COUNTBLANK(M$7:M$126),""),"")</f>
        <v/>
      </c>
      <c r="H69" s="144">
        <f>IF((M69="n"),U69,U69-1000)</f>
        <v>-880</v>
      </c>
      <c r="I69" s="160" t="str">
        <f>IF(R69&gt;0,IF(O69="j",RANK(J69,J$7:J$126,1)-COUNTBLANK(O$7:O$126),""),"")</f>
        <v/>
      </c>
      <c r="J69" s="161">
        <f>IF((O69="j"),U69,U69-1000)</f>
        <v>-880</v>
      </c>
      <c r="K69" s="162" t="str">
        <f>IF(R69&gt;0,RANK(U69,U$7:U$126,1),"")</f>
        <v/>
      </c>
      <c r="L69" s="168" t="s">
        <v>259</v>
      </c>
      <c r="M69" s="164"/>
      <c r="N69" s="165" t="str">
        <f>IF(M69="","m","")</f>
        <v>m</v>
      </c>
      <c r="O69" s="166"/>
      <c r="P69" s="167"/>
      <c r="Q69" s="192" t="s">
        <v>171</v>
      </c>
      <c r="R69" s="154">
        <f>(IF(COUNT(Z69,AA69,AB69,AC69,AD69,AE69,AF69,AG69,AH69,AI69)&lt;10,SUM(Z69,AA69,AB69,AC69,AD69,AE69,AF69,AG69,AH69,AI69),SUM(LARGE((Z69,AA69,AB69,AC69,AD69,AE69,AF69,AG69,AH69,AI69),{1;2;3;4;5;6;7;8;9}))))</f>
        <v>0</v>
      </c>
      <c r="S69" s="193" t="str">
        <f>INDEX(ETAPP!B$1:B$32,MATCH(COUNTIF(BI69:BR69,1),ETAPP!A$1:A$32,0))&amp;INDEX(ETAPP!B$1:B$32,MATCH(COUNTIF(BI69:BR69,2),ETAPP!A$1:A$32,0))&amp;INDEX(ETAPP!B$1:B$32,MATCH(COUNTIF(BI69:BR69,3),ETAPP!A$1:A$32,0))&amp;INDEX(ETAPP!B$1:B$32,MATCH(COUNTIF(BI69:BR69,4),ETAPP!A$1:A$32,0))&amp;INDEX(ETAPP!B$1:B$32,MATCH(COUNTIF(BI69:BR69,5),ETAPP!A$1:A$32,0))&amp;INDEX(ETAPP!B$1:B$32,MATCH(COUNTIF(BI69:BR69,6),ETAPP!A$1:A$32,0))&amp;INDEX(ETAPP!B$1:B$32,MATCH(COUNTIF(BI69:BR69,7),ETAPP!A$1:A$32,0))&amp;INDEX(ETAPP!B$1:B$32,MATCH(COUNTIF(BI69:BR69,8),ETAPP!A$1:A$32,0))&amp;INDEX(ETAPP!B$1:B$32,MATCH(COUNTIF(BI69:BR69,9),ETAPP!A$1:A$32,0))&amp;INDEX(ETAPP!B$1:B$32,MATCH(COUNTIF(BI69:BR69,10),ETAPP!A$1:A$32,0))&amp;INDEX(ETAPP!B$1:B$32,MATCH(COUNTIF(BI69:BR69,11),ETAPP!A$1:A$32,0))&amp;INDEX(ETAPP!B$1:B$32,MATCH(COUNTIF(BI69:BR69,12),ETAPP!A$1:A$32,0))&amp;INDEX(ETAPP!B$1:B$32,MATCH(COUNTIF(BI69:BR69,13),ETAPP!A$1:A$32,0))&amp;INDEX(ETAPP!B$1:B$32,MATCH(COUNTIF(BI69:BR69,14),ETAPP!A$1:A$32,0))&amp;INDEX(ETAPP!B$1:B$32,MATCH(COUNTIF(BI69:BR69,15),ETAPP!A$1:A$32,0))&amp;INDEX(ETAPP!B$1:B$32,MATCH(COUNTIF(BI69:BR69,16),ETAPP!A$1:A$32,0))&amp;INDEX(ETAPP!B$1:B$32,MATCH(COUNTIF(BI69:BR69,17),ETAPP!A$1:A$32,0))&amp;INDEX(ETAPP!B$1:B$32,MATCH(COUNTIF(BI69:BR69,18),ETAPP!A$1:A$32,0))&amp;INDEX(ETAPP!B$1:B$32,MATCH(COUNTIF(BI69:BR69,19),ETAPP!A$1:A$32,0))&amp;INDEX(ETAPP!B$1:B$32,MATCH(COUNTIF(BI69:BR69,20),ETAPP!A$1:A$32,0))&amp;INDEX(ETAPP!B$1:B$32,MATCH(COUNTIF(BI69:BR69,21),ETAPP!A$1:A$32,0))</f>
        <v>000000000000000000000</v>
      </c>
      <c r="T69" s="193" t="str">
        <f>TEXT(R69,"000,0")&amp;"-"&amp;S69</f>
        <v>000,0-000000000000000000000</v>
      </c>
      <c r="U69" s="193">
        <f>COUNTIF(T$7:T$126,"&gt;="&amp;T69)</f>
        <v>120</v>
      </c>
      <c r="V69" s="193">
        <f>COUNTIF(L$7:L$126,"&gt;="&amp;L69)</f>
        <v>106</v>
      </c>
      <c r="W69" s="193" t="str">
        <f>TEXT(R69,"000,0")&amp;"-"&amp;S69&amp;"-"&amp;TEXT(V69,"000")</f>
        <v>000,0-000000000000000000000-106</v>
      </c>
      <c r="X69" s="193">
        <f>COUNTIF(W$7:W$126,"&gt;="&amp;W69)</f>
        <v>63</v>
      </c>
      <c r="Y69" s="201">
        <f>RANK(X69,X$7:X$126,0)</f>
        <v>58</v>
      </c>
      <c r="Z69" s="202" t="str">
        <f>IFERROR(INDEX('V1'!C$300:C$400,MATCH("*"&amp;L69&amp;"*",'V1'!B$300:B$400,0)),"  ")</f>
        <v>  </v>
      </c>
      <c r="AA69" s="202" t="str">
        <f>IFERROR(INDEX('V2'!C$300:C$400,MATCH("*"&amp;L69&amp;"*",'V2'!B$300:B$400,0)),"  ")</f>
        <v>  </v>
      </c>
      <c r="AB69" s="202" t="str">
        <f>IFERROR(INDEX('V3'!C$300:C$400,MATCH("*"&amp;L69&amp;"*",'V3'!B$300:B$400,0)),"  ")</f>
        <v>  </v>
      </c>
      <c r="AC69" s="202" t="str">
        <f>IFERROR(INDEX('V4'!C$300:C$400,MATCH("*"&amp;L69&amp;"*",'V4'!B$300:B$400,0)),"  ")</f>
        <v>  </v>
      </c>
      <c r="AD69" s="202" t="str">
        <f>IFERROR(INDEX('V5'!C$300:C$400,MATCH("*"&amp;L69&amp;"*",'V5'!B$300:B$400,0)),"  ")</f>
        <v>  </v>
      </c>
      <c r="AE69" s="202" t="str">
        <f>IFERROR(INDEX('V6'!C$300:C$400,MATCH("*"&amp;L69&amp;"*",'V6'!B$300:B$400,0)),"  ")</f>
        <v>  </v>
      </c>
      <c r="AF69" s="202" t="str">
        <f>IFERROR(INDEX('V7'!C$300:C$400,MATCH("*"&amp;L69&amp;"*",'V7'!B$300:B$400,0)),"  ")</f>
        <v>  </v>
      </c>
      <c r="AG69" s="202" t="str">
        <f>IFERROR(INDEX('V8'!C$300:C$400,MATCH("*"&amp;L69&amp;"*",'V8'!B$300:B$400,0)),"  ")</f>
        <v>  </v>
      </c>
      <c r="AH69" s="202"/>
      <c r="AI69" s="202"/>
      <c r="AJ69" s="222" t="str">
        <f>IF(AN69&gt;(AT$2-1),K69,"")</f>
        <v/>
      </c>
      <c r="AK69" s="223">
        <f>SUM(Z69:AI69)</f>
        <v>0</v>
      </c>
      <c r="AL69" s="224" t="str">
        <f>IFERROR("edasi "&amp;RANK(AJ69,AJ$7:AJ$126,1),K69)</f>
        <v/>
      </c>
      <c r="AM69" s="225" t="str">
        <f>IFERROR(INDEX(#REF!,MATCH("*"&amp;L69&amp;"*",#REF!,0)),"  ")</f>
        <v>  </v>
      </c>
      <c r="AN69" s="226">
        <f>COUNTIF(Z69:AI69,"&gt;=0")</f>
        <v>0</v>
      </c>
      <c r="AO69" s="126">
        <f>IFERROR(IF(Z69+1&gt;LARGE(Z$7:Z$126,1)-2*LEN(Z$5),1),0)+IFERROR(IF(AA69+1&gt;LARGE(AA$7:AA$126,1)-2*LEN(AA$5),1),0)+IFERROR(IF(AB69+1&gt;LARGE(AB$7:AB$126,1)-2*LEN(AB$5),1),0)+IFERROR(IF(AC69+1&gt;LARGE(AC$7:AC$126,1)-2*LEN(AC$5),1),0)+IFERROR(IF(AD69+1&gt;LARGE(AD$7:AD$126,1)-2*LEN(AD$5),1),0)+IFERROR(IF(AE69+1&gt;LARGE(AE$7:AE$126,1)-2*LEN(AE$5),1),0)+IFERROR(IF(AF69+1&gt;LARGE(AF$7:AF$126,1)-2*LEN(AF$5),1),0)+IFERROR(IF(AG69+1&gt;LARGE(AG$7:AG$126,1)-2*LEN(AG$5),1),0)+IFERROR(IF(AH69+1&gt;LARGE(AH$7:AH$126,1)-2*LEN(AH$5),1),0)+IFERROR(IF(AI69+1&gt;LARGE(AI$7:AI$126,1)-2*LEN(AI$5),1),0)</f>
        <v>0</v>
      </c>
      <c r="AP69" s="126">
        <f>IF(Z69=0,0,IF(Z69=IFERROR(LARGE(Z$7:Z$126,1),0),1,0))+IF(AA69=0,0,IF(AA69=IFERROR(LARGE(AA$7:AA$126,1),0),1,0))+IF(AB69=0,0,IF(AB69=IFERROR(LARGE(AB$7:AB$126,1),0),1,0))+IF(AC69=0,0,IF(AC69=IFERROR(LARGE(AC$7:AC$126,1),0),1,0))+IF(AD69=0,0,IF(AD69=IFERROR(LARGE(AD$7:AD$126,1),0),1,0))+IF(AE69=0,0,IF(AE69=IFERROR(LARGE(AE$7:AE$126,1),0),1,0))+IF(AF69=0,0,IF(AF69=IFERROR(LARGE(AF$7:AF$126,1),0),1,0))+IF(AG69=0,0,IF(AG69=IFERROR(LARGE(AG$7:AG$126,1),0),1,0))+IF(AH69=0,0,IF(AH69=IFERROR(LARGE(AH$7:AH$126,1),0),1,0))+IF(AI69=0,0,IF(AI69=IFERROR(LARGE(AI$7:AI$126,1),0),1,0))</f>
        <v>0</v>
      </c>
      <c r="AQ69" s="233"/>
      <c r="AR69" s="233"/>
      <c r="AS69" s="233"/>
      <c r="AT69" s="234">
        <f>SMALL(AU69:BD69,AT$3)</f>
        <v>0.0001</v>
      </c>
      <c r="AU69" s="235">
        <f>IF(Z69="  ",0+MID(Z$6,FIND("V",Z$6)+1,256)/10000,Z69+MID(Z$6,FIND("V",Z$6)+1,256)/10000)</f>
        <v>0.0001</v>
      </c>
      <c r="AV69" s="235">
        <f>IF(AA69="  ",0+MID(AA$6,FIND("V",AA$6)+1,256)/10000,AA69+MID(AA$6,FIND("V",AA$6)+1,256)/10000)</f>
        <v>0.0002</v>
      </c>
      <c r="AW69" s="235">
        <f>IF(AB69="  ",0+MID(AB$6,FIND("V",AB$6)+1,256)/10000,AB69+MID(AB$6,FIND("V",AB$6)+1,256)/10000)</f>
        <v>0.0003</v>
      </c>
      <c r="AX69" s="235">
        <f>IF(AC69="  ",0+MID(AC$6,FIND("V",AC$6)+1,256)/10000,AC69+MID(AC$6,FIND("V",AC$6)+1,256)/10000)</f>
        <v>0.0004</v>
      </c>
      <c r="AY69" s="235">
        <f>IF(AD69="  ",0+MID(AD$6,FIND("V",AD$6)+1,256)/10000,AD69+MID(AD$6,FIND("V",AD$6)+1,256)/10000)</f>
        <v>0.0005</v>
      </c>
      <c r="AZ69" s="235">
        <f>IF(AE69="  ",0+MID(AE$6,FIND("V",AE$6)+1,256)/10000,AE69+MID(AE$6,FIND("V",AE$6)+1,256)/10000)</f>
        <v>0.0006</v>
      </c>
      <c r="BA69" s="235">
        <f>IF(AF69="  ",0+MID(AF$6,FIND("V",AF$6)+1,256)/10000,AF69+MID(AF$6,FIND("V",AF$6)+1,256)/10000)</f>
        <v>0.0007</v>
      </c>
      <c r="BB69" s="235">
        <f>IF(AG69="  ",0+MID(AG$6,FIND("V",AG$6)+1,256)/10000,AG69+MID(AG$6,FIND("V",AG$6)+1,256)/10000)</f>
        <v>0.0008</v>
      </c>
      <c r="BC69" s="235">
        <f>IF(AH69="  ",0+MID(AH$6,FIND("V",AH$6)+1,256)/10000,AH69+MID(AH$6,FIND("V",AH$6)+1,256)/10000)</f>
        <v>0.0009</v>
      </c>
      <c r="BD69" s="235">
        <f>IF(AI69="  ",0+MID(AI$6,FIND("V",AI$6)+1,256)/10000,AI69+MID(AI$6,FIND("V",AI$6)+1,256)/10000)</f>
        <v>0.001</v>
      </c>
      <c r="BE69" s="233"/>
      <c r="BF69" s="233"/>
      <c r="BG69" s="233"/>
      <c r="BH69" s="233"/>
      <c r="BI69" s="3" t="e">
        <f>(LARGE(Z$7:Z$126,1)-Z69)/2+1</f>
        <v>#VALUE!</v>
      </c>
      <c r="BJ69" s="3" t="e">
        <f>(LARGE(AA$7:AA$126,1)-AA69)/2+1</f>
        <v>#VALUE!</v>
      </c>
      <c r="BK69" s="3" t="e">
        <f>(LARGE(AB$7:AB$126,1)-AB69)/2+1</f>
        <v>#VALUE!</v>
      </c>
      <c r="BL69" s="3" t="e">
        <f>(LARGE(AC$7:AC$126,1)-AC69)/2+1</f>
        <v>#VALUE!</v>
      </c>
      <c r="BM69" s="3" t="e">
        <f>(LARGE(AD$7:AD$126,1)-AD69)/2+1</f>
        <v>#VALUE!</v>
      </c>
      <c r="BN69" s="3" t="e">
        <f>(LARGE(AE$7:AE$126,1)-AE69)/2+1</f>
        <v>#VALUE!</v>
      </c>
      <c r="BO69" s="3" t="e">
        <f>(LARGE(AF$7:AF$126,1)-AF69)/2+1</f>
        <v>#VALUE!</v>
      </c>
      <c r="BP69" s="3" t="e">
        <f>(LARGE(AG$7:AG$126,1)-AG69)/2+1</f>
        <v>#VALUE!</v>
      </c>
      <c r="BQ69" s="3" t="e">
        <f>(LARGE(AH$7:AH$126,1)-AH69)/2+1</f>
        <v>#NUM!</v>
      </c>
      <c r="BR69" s="3" t="e">
        <f>(LARGE(AI$7:AI$126,1)-AI69)/2+1</f>
        <v>#NUM!</v>
      </c>
    </row>
    <row r="70" ht="12.75" hidden="1" customHeight="1" spans="1:70">
      <c r="A70" s="139" t="str">
        <f>IF(R70&gt;0,IF(Q70="Viru SK",RANK(B70,B$7:B$126,1)-COUNTIF((Q$7:Q$126),"&lt;&gt;Viru SK"),""),"")</f>
        <v/>
      </c>
      <c r="B70" s="140">
        <f>IF((Q70="Viru SK"),U70,U70-1000)</f>
        <v>-880</v>
      </c>
      <c r="C70" s="141" t="str">
        <f>IF(R70&gt;0,IF(P70="t",RANK(D70,D$7:D$126,1)-COUNTBLANK(P$7:P$126),""),"")</f>
        <v/>
      </c>
      <c r="D70" s="142">
        <f>IF((P70="t"),U70,U70-1000)</f>
        <v>-880</v>
      </c>
      <c r="E70" s="143" t="str">
        <f>IF(R70&gt;0,IF(N70="m",RANK(F70,F$7:F$126,1)-COUNTBLANK(N$7:N$126),""),"")</f>
        <v/>
      </c>
      <c r="F70" s="144">
        <f>IF((N70="m"),U70,U70-1000)</f>
        <v>-880</v>
      </c>
      <c r="G70" s="145" t="str">
        <f>IF(R70&gt;0,IF(M70="n",RANK(H70,H$7:H$126,1)-COUNTBLANK(M$7:M$126),""),"")</f>
        <v/>
      </c>
      <c r="H70" s="144">
        <f>IF((M70="n"),U70,U70-1000)</f>
        <v>120</v>
      </c>
      <c r="I70" s="160" t="str">
        <f>IF(R70&gt;0,IF(O70="j",RANK(J70,J$7:J$126,1)-COUNTBLANK(O$7:O$126),""),"")</f>
        <v/>
      </c>
      <c r="J70" s="161">
        <f>IF((O70="j"),U70,U70-1000)</f>
        <v>-880</v>
      </c>
      <c r="K70" s="162" t="str">
        <f>IF(R70&gt;0,RANK(U70,U$7:U$126,1),"")</f>
        <v/>
      </c>
      <c r="L70" s="163" t="s">
        <v>260</v>
      </c>
      <c r="M70" s="164" t="s">
        <v>203</v>
      </c>
      <c r="N70" s="165"/>
      <c r="O70" s="166"/>
      <c r="P70" s="167"/>
      <c r="Q70" s="192" t="s">
        <v>198</v>
      </c>
      <c r="R70" s="154">
        <f>(IF(COUNT(Z70,AA70,AB70,AC70,AD70,AE70,AF70,AG70,AH70,AI70)&lt;10,SUM(Z70,AA70,AB70,AC70,AD70,AE70,AF70,AG70,AH70,AI70),SUM(LARGE((Z70,AA70,AB70,AC70,AD70,AE70,AF70,AG70,AH70,AI70),{1;2;3;4;5;6;7;8;9}))))</f>
        <v>0</v>
      </c>
      <c r="S70" s="193" t="str">
        <f>INDEX(ETAPP!B$1:B$32,MATCH(COUNTIF(BI70:BR70,1),ETAPP!A$1:A$32,0))&amp;INDEX(ETAPP!B$1:B$32,MATCH(COUNTIF(BI70:BR70,2),ETAPP!A$1:A$32,0))&amp;INDEX(ETAPP!B$1:B$32,MATCH(COUNTIF(BI70:BR70,3),ETAPP!A$1:A$32,0))&amp;INDEX(ETAPP!B$1:B$32,MATCH(COUNTIF(BI70:BR70,4),ETAPP!A$1:A$32,0))&amp;INDEX(ETAPP!B$1:B$32,MATCH(COUNTIF(BI70:BR70,5),ETAPP!A$1:A$32,0))&amp;INDEX(ETAPP!B$1:B$32,MATCH(COUNTIF(BI70:BR70,6),ETAPP!A$1:A$32,0))&amp;INDEX(ETAPP!B$1:B$32,MATCH(COUNTIF(BI70:BR70,7),ETAPP!A$1:A$32,0))&amp;INDEX(ETAPP!B$1:B$32,MATCH(COUNTIF(BI70:BR70,8),ETAPP!A$1:A$32,0))&amp;INDEX(ETAPP!B$1:B$32,MATCH(COUNTIF(BI70:BR70,9),ETAPP!A$1:A$32,0))&amp;INDEX(ETAPP!B$1:B$32,MATCH(COUNTIF(BI70:BR70,10),ETAPP!A$1:A$32,0))&amp;INDEX(ETAPP!B$1:B$32,MATCH(COUNTIF(BI70:BR70,11),ETAPP!A$1:A$32,0))&amp;INDEX(ETAPP!B$1:B$32,MATCH(COUNTIF(BI70:BR70,12),ETAPP!A$1:A$32,0))&amp;INDEX(ETAPP!B$1:B$32,MATCH(COUNTIF(BI70:BR70,13),ETAPP!A$1:A$32,0))&amp;INDEX(ETAPP!B$1:B$32,MATCH(COUNTIF(BI70:BR70,14),ETAPP!A$1:A$32,0))&amp;INDEX(ETAPP!B$1:B$32,MATCH(COUNTIF(BI70:BR70,15),ETAPP!A$1:A$32,0))&amp;INDEX(ETAPP!B$1:B$32,MATCH(COUNTIF(BI70:BR70,16),ETAPP!A$1:A$32,0))&amp;INDEX(ETAPP!B$1:B$32,MATCH(COUNTIF(BI70:BR70,17),ETAPP!A$1:A$32,0))&amp;INDEX(ETAPP!B$1:B$32,MATCH(COUNTIF(BI70:BR70,18),ETAPP!A$1:A$32,0))&amp;INDEX(ETAPP!B$1:B$32,MATCH(COUNTIF(BI70:BR70,19),ETAPP!A$1:A$32,0))&amp;INDEX(ETAPP!B$1:B$32,MATCH(COUNTIF(BI70:BR70,20),ETAPP!A$1:A$32,0))&amp;INDEX(ETAPP!B$1:B$32,MATCH(COUNTIF(BI70:BR70,21),ETAPP!A$1:A$32,0))</f>
        <v>000000000000000000000</v>
      </c>
      <c r="T70" s="193" t="str">
        <f>TEXT(R70,"000,0")&amp;"-"&amp;S70</f>
        <v>000,0-000000000000000000000</v>
      </c>
      <c r="U70" s="193">
        <f>COUNTIF(T$7:T$126,"&gt;="&amp;T70)</f>
        <v>120</v>
      </c>
      <c r="V70" s="193">
        <f>COUNTIF(L$7:L$126,"&gt;="&amp;L70)</f>
        <v>105</v>
      </c>
      <c r="W70" s="193" t="str">
        <f>TEXT(R70,"000,0")&amp;"-"&amp;S70&amp;"-"&amp;TEXT(V70,"000")</f>
        <v>000,0-000000000000000000000-105</v>
      </c>
      <c r="X70" s="193">
        <f>COUNTIF(W$7:W$126,"&gt;="&amp;W70)</f>
        <v>64</v>
      </c>
      <c r="Y70" s="201">
        <f>RANK(X70,X$7:X$126,0)</f>
        <v>57</v>
      </c>
      <c r="Z70" s="202" t="str">
        <f>IFERROR(INDEX('V1'!C$300:C$400,MATCH("*"&amp;L70&amp;"*",'V1'!B$300:B$400,0)),"  ")</f>
        <v>  </v>
      </c>
      <c r="AA70" s="202" t="str">
        <f>IFERROR(INDEX('V2'!C$300:C$400,MATCH("*"&amp;L70&amp;"*",'V2'!B$300:B$400,0)),"  ")</f>
        <v>  </v>
      </c>
      <c r="AB70" s="202" t="str">
        <f>IFERROR(INDEX('V3'!C$300:C$400,MATCH("*"&amp;L70&amp;"*",'V3'!B$300:B$400,0)),"  ")</f>
        <v>  </v>
      </c>
      <c r="AC70" s="202" t="str">
        <f>IFERROR(INDEX('V4'!C$300:C$400,MATCH("*"&amp;L70&amp;"*",'V4'!B$300:B$400,0)),"  ")</f>
        <v>  </v>
      </c>
      <c r="AD70" s="202" t="str">
        <f>IFERROR(INDEX('V5'!C$300:C$400,MATCH("*"&amp;L70&amp;"*",'V5'!B$300:B$400,0)),"  ")</f>
        <v>  </v>
      </c>
      <c r="AE70" s="202" t="str">
        <f>IFERROR(INDEX('V6'!C$300:C$400,MATCH("*"&amp;L70&amp;"*",'V6'!B$300:B$400,0)),"  ")</f>
        <v>  </v>
      </c>
      <c r="AF70" s="202" t="str">
        <f>IFERROR(INDEX('V7'!C$300:C$400,MATCH("*"&amp;L70&amp;"*",'V7'!B$300:B$400,0)),"  ")</f>
        <v>  </v>
      </c>
      <c r="AG70" s="202" t="str">
        <f>IFERROR(INDEX('V8'!C$300:C$400,MATCH("*"&amp;L70&amp;"*",'V8'!B$300:B$400,0)),"  ")</f>
        <v>  </v>
      </c>
      <c r="AH70" s="202"/>
      <c r="AI70" s="202"/>
      <c r="AJ70" s="222" t="str">
        <f>IF(AN70&gt;(AT$2-1),K70,"")</f>
        <v/>
      </c>
      <c r="AK70" s="223">
        <f>SUM(Z70:AI70)</f>
        <v>0</v>
      </c>
      <c r="AL70" s="224" t="str">
        <f>IFERROR("edasi "&amp;RANK(AJ70,AJ$7:AJ$126,1),K70)</f>
        <v/>
      </c>
      <c r="AM70" s="225" t="str">
        <f>IFERROR(INDEX(#REF!,MATCH("*"&amp;L70&amp;"*",#REF!,0)),"  ")</f>
        <v>  </v>
      </c>
      <c r="AN70" s="226">
        <f>COUNTIF(Z70:AI70,"&gt;=0")</f>
        <v>0</v>
      </c>
      <c r="AO70" s="126">
        <f>IFERROR(IF(Z70+1&gt;LARGE(Z$7:Z$126,1)-2*LEN(Z$5),1),0)+IFERROR(IF(AA70+1&gt;LARGE(AA$7:AA$126,1)-2*LEN(AA$5),1),0)+IFERROR(IF(AB70+1&gt;LARGE(AB$7:AB$126,1)-2*LEN(AB$5),1),0)+IFERROR(IF(AC70+1&gt;LARGE(AC$7:AC$126,1)-2*LEN(AC$5),1),0)+IFERROR(IF(AD70+1&gt;LARGE(AD$7:AD$126,1)-2*LEN(AD$5),1),0)+IFERROR(IF(AE70+1&gt;LARGE(AE$7:AE$126,1)-2*LEN(AE$5),1),0)+IFERROR(IF(AF70+1&gt;LARGE(AF$7:AF$126,1)-2*LEN(AF$5),1),0)+IFERROR(IF(AG70+1&gt;LARGE(AG$7:AG$126,1)-2*LEN(AG$5),1),0)+IFERROR(IF(AH70+1&gt;LARGE(AH$7:AH$126,1)-2*LEN(AH$5),1),0)+IFERROR(IF(AI70+1&gt;LARGE(AI$7:AI$126,1)-2*LEN(AI$5),1),0)</f>
        <v>0</v>
      </c>
      <c r="AP70" s="126">
        <f>IF(Z70=0,0,IF(Z70=IFERROR(LARGE(Z$7:Z$126,1),0),1,0))+IF(AA70=0,0,IF(AA70=IFERROR(LARGE(AA$7:AA$126,1),0),1,0))+IF(AB70=0,0,IF(AB70=IFERROR(LARGE(AB$7:AB$126,1),0),1,0))+IF(AC70=0,0,IF(AC70=IFERROR(LARGE(AC$7:AC$126,1),0),1,0))+IF(AD70=0,0,IF(AD70=IFERROR(LARGE(AD$7:AD$126,1),0),1,0))+IF(AE70=0,0,IF(AE70=IFERROR(LARGE(AE$7:AE$126,1),0),1,0))+IF(AF70=0,0,IF(AF70=IFERROR(LARGE(AF$7:AF$126,1),0),1,0))+IF(AG70=0,0,IF(AG70=IFERROR(LARGE(AG$7:AG$126,1),0),1,0))+IF(AH70=0,0,IF(AH70=IFERROR(LARGE(AH$7:AH$126,1),0),1,0))+IF(AI70=0,0,IF(AI70=IFERROR(LARGE(AI$7:AI$126,1),0),1,0))</f>
        <v>0</v>
      </c>
      <c r="AQ70" s="233"/>
      <c r="AR70" s="233"/>
      <c r="AS70" s="233"/>
      <c r="AT70" s="234">
        <f>SMALL(AU70:BD70,AT$3)</f>
        <v>0.0001</v>
      </c>
      <c r="AU70" s="235">
        <f>IF(Z70="  ",0+MID(Z$6,FIND("V",Z$6)+1,256)/10000,Z70+MID(Z$6,FIND("V",Z$6)+1,256)/10000)</f>
        <v>0.0001</v>
      </c>
      <c r="AV70" s="235">
        <f>IF(AA70="  ",0+MID(AA$6,FIND("V",AA$6)+1,256)/10000,AA70+MID(AA$6,FIND("V",AA$6)+1,256)/10000)</f>
        <v>0.0002</v>
      </c>
      <c r="AW70" s="235">
        <f>IF(AB70="  ",0+MID(AB$6,FIND("V",AB$6)+1,256)/10000,AB70+MID(AB$6,FIND("V",AB$6)+1,256)/10000)</f>
        <v>0.0003</v>
      </c>
      <c r="AX70" s="235">
        <f>IF(AC70="  ",0+MID(AC$6,FIND("V",AC$6)+1,256)/10000,AC70+MID(AC$6,FIND("V",AC$6)+1,256)/10000)</f>
        <v>0.0004</v>
      </c>
      <c r="AY70" s="235">
        <f>IF(AD70="  ",0+MID(AD$6,FIND("V",AD$6)+1,256)/10000,AD70+MID(AD$6,FIND("V",AD$6)+1,256)/10000)</f>
        <v>0.0005</v>
      </c>
      <c r="AZ70" s="235">
        <f>IF(AE70="  ",0+MID(AE$6,FIND("V",AE$6)+1,256)/10000,AE70+MID(AE$6,FIND("V",AE$6)+1,256)/10000)</f>
        <v>0.0006</v>
      </c>
      <c r="BA70" s="235">
        <f>IF(AF70="  ",0+MID(AF$6,FIND("V",AF$6)+1,256)/10000,AF70+MID(AF$6,FIND("V",AF$6)+1,256)/10000)</f>
        <v>0.0007</v>
      </c>
      <c r="BB70" s="235">
        <f>IF(AG70="  ",0+MID(AG$6,FIND("V",AG$6)+1,256)/10000,AG70+MID(AG$6,FIND("V",AG$6)+1,256)/10000)</f>
        <v>0.0008</v>
      </c>
      <c r="BC70" s="235">
        <f>IF(AH70="  ",0+MID(AH$6,FIND("V",AH$6)+1,256)/10000,AH70+MID(AH$6,FIND("V",AH$6)+1,256)/10000)</f>
        <v>0.0009</v>
      </c>
      <c r="BD70" s="235">
        <f>IF(AI70="  ",0+MID(AI$6,FIND("V",AI$6)+1,256)/10000,AI70+MID(AI$6,FIND("V",AI$6)+1,256)/10000)</f>
        <v>0.001</v>
      </c>
      <c r="BE70" s="233"/>
      <c r="BF70" s="233"/>
      <c r="BG70" s="233"/>
      <c r="BH70" s="233"/>
      <c r="BI70" s="3" t="e">
        <f>(LARGE(Z$7:Z$126,1)-Z70)/2+1</f>
        <v>#VALUE!</v>
      </c>
      <c r="BJ70" s="3" t="e">
        <f>(LARGE(AA$7:AA$126,1)-AA70)/2+1</f>
        <v>#VALUE!</v>
      </c>
      <c r="BK70" s="3" t="e">
        <f>(LARGE(AB$7:AB$126,1)-AB70)/2+1</f>
        <v>#VALUE!</v>
      </c>
      <c r="BL70" s="3" t="e">
        <f>(LARGE(AC$7:AC$126,1)-AC70)/2+1</f>
        <v>#VALUE!</v>
      </c>
      <c r="BM70" s="3" t="e">
        <f>(LARGE(AD$7:AD$126,1)-AD70)/2+1</f>
        <v>#VALUE!</v>
      </c>
      <c r="BN70" s="3" t="e">
        <f>(LARGE(AE$7:AE$126,1)-AE70)/2+1</f>
        <v>#VALUE!</v>
      </c>
      <c r="BO70" s="3" t="e">
        <f>(LARGE(AF$7:AF$126,1)-AF70)/2+1</f>
        <v>#VALUE!</v>
      </c>
      <c r="BP70" s="3" t="e">
        <f>(LARGE(AG$7:AG$126,1)-AG70)/2+1</f>
        <v>#VALUE!</v>
      </c>
      <c r="BQ70" s="3" t="e">
        <f>(LARGE(AH$7:AH$126,1)-AH70)/2+1</f>
        <v>#NUM!</v>
      </c>
      <c r="BR70" s="3" t="e">
        <f>(LARGE(AI$7:AI$126,1)-AI70)/2+1</f>
        <v>#NUM!</v>
      </c>
    </row>
    <row r="71" ht="12.75" hidden="1" customHeight="1" spans="1:70">
      <c r="A71" s="139" t="str">
        <f>IF(R71&gt;0,IF(Q71="Viru SK",RANK(B71,B$7:B$126,1)-COUNTIF((Q$7:Q$126),"&lt;&gt;Viru SK"),""),"")</f>
        <v/>
      </c>
      <c r="B71" s="140">
        <f>IF((Q71="Viru SK"),U71,U71-1000)</f>
        <v>-880</v>
      </c>
      <c r="C71" s="141" t="str">
        <f>IF(R71&gt;0,IF(P71="t",RANK(D71,D$7:D$126,1)-COUNTBLANK(P$7:P$126),""),"")</f>
        <v/>
      </c>
      <c r="D71" s="142">
        <f>IF((P71="t"),U71,U71-1000)</f>
        <v>120</v>
      </c>
      <c r="E71" s="143" t="str">
        <f>IF(R71&gt;0,IF(N71="m",RANK(F71,F$7:F$126,1)-COUNTBLANK(N$7:N$126),""),"")</f>
        <v/>
      </c>
      <c r="F71" s="144">
        <f>IF((N71="m"),U71,U71-1000)</f>
        <v>-880</v>
      </c>
      <c r="G71" s="145" t="str">
        <f>IF(R71&gt;0,IF(M71="n",RANK(H71,H$7:H$126,1)-COUNTBLANK(M$7:M$126),""),"")</f>
        <v/>
      </c>
      <c r="H71" s="144">
        <f>IF((M71="n"),U71,U71-1000)</f>
        <v>120</v>
      </c>
      <c r="I71" s="160" t="str">
        <f>IF(R71&gt;0,IF(O71="j",RANK(J71,J$7:J$126,1)-COUNTBLANK(O$7:O$126),""),"")</f>
        <v/>
      </c>
      <c r="J71" s="161">
        <f>IF((O71="j"),U71,U71-1000)</f>
        <v>120</v>
      </c>
      <c r="K71" s="162" t="str">
        <f>IF(R71&gt;0,RANK(U71,U$7:U$126,1),"")</f>
        <v/>
      </c>
      <c r="L71" s="163" t="s">
        <v>261</v>
      </c>
      <c r="M71" s="164" t="s">
        <v>203</v>
      </c>
      <c r="N71" s="165"/>
      <c r="O71" s="166" t="s">
        <v>251</v>
      </c>
      <c r="P71" s="167" t="s">
        <v>196</v>
      </c>
      <c r="Q71" s="192"/>
      <c r="R71" s="154">
        <f>(IF(COUNT(Z71,AA71,AB71,AC71,AD71,AE71,AF71,AG71,AH71,AI71)&lt;10,SUM(Z71,AA71,AB71,AC71,AD71,AE71,AF71,AG71,AH71,AI71),SUM(LARGE((Z71,AA71,AB71,AC71,AD71,AE71,AF71,AG71,AH71,AI71),{1;2;3;4;5;6;7;8;9}))))</f>
        <v>0</v>
      </c>
      <c r="S71" s="193" t="str">
        <f>INDEX(ETAPP!B$1:B$32,MATCH(COUNTIF(BI71:BR71,1),ETAPP!A$1:A$32,0))&amp;INDEX(ETAPP!B$1:B$32,MATCH(COUNTIF(BI71:BR71,2),ETAPP!A$1:A$32,0))&amp;INDEX(ETAPP!B$1:B$32,MATCH(COUNTIF(BI71:BR71,3),ETAPP!A$1:A$32,0))&amp;INDEX(ETAPP!B$1:B$32,MATCH(COUNTIF(BI71:BR71,4),ETAPP!A$1:A$32,0))&amp;INDEX(ETAPP!B$1:B$32,MATCH(COUNTIF(BI71:BR71,5),ETAPP!A$1:A$32,0))&amp;INDEX(ETAPP!B$1:B$32,MATCH(COUNTIF(BI71:BR71,6),ETAPP!A$1:A$32,0))&amp;INDEX(ETAPP!B$1:B$32,MATCH(COUNTIF(BI71:BR71,7),ETAPP!A$1:A$32,0))&amp;INDEX(ETAPP!B$1:B$32,MATCH(COUNTIF(BI71:BR71,8),ETAPP!A$1:A$32,0))&amp;INDEX(ETAPP!B$1:B$32,MATCH(COUNTIF(BI71:BR71,9),ETAPP!A$1:A$32,0))&amp;INDEX(ETAPP!B$1:B$32,MATCH(COUNTIF(BI71:BR71,10),ETAPP!A$1:A$32,0))&amp;INDEX(ETAPP!B$1:B$32,MATCH(COUNTIF(BI71:BR71,11),ETAPP!A$1:A$32,0))&amp;INDEX(ETAPP!B$1:B$32,MATCH(COUNTIF(BI71:BR71,12),ETAPP!A$1:A$32,0))&amp;INDEX(ETAPP!B$1:B$32,MATCH(COUNTIF(BI71:BR71,13),ETAPP!A$1:A$32,0))&amp;INDEX(ETAPP!B$1:B$32,MATCH(COUNTIF(BI71:BR71,14),ETAPP!A$1:A$32,0))&amp;INDEX(ETAPP!B$1:B$32,MATCH(COUNTIF(BI71:BR71,15),ETAPP!A$1:A$32,0))&amp;INDEX(ETAPP!B$1:B$32,MATCH(COUNTIF(BI71:BR71,16),ETAPP!A$1:A$32,0))&amp;INDEX(ETAPP!B$1:B$32,MATCH(COUNTIF(BI71:BR71,17),ETAPP!A$1:A$32,0))&amp;INDEX(ETAPP!B$1:B$32,MATCH(COUNTIF(BI71:BR71,18),ETAPP!A$1:A$32,0))&amp;INDEX(ETAPP!B$1:B$32,MATCH(COUNTIF(BI71:BR71,19),ETAPP!A$1:A$32,0))&amp;INDEX(ETAPP!B$1:B$32,MATCH(COUNTIF(BI71:BR71,20),ETAPP!A$1:A$32,0))&amp;INDEX(ETAPP!B$1:B$32,MATCH(COUNTIF(BI71:BR71,21),ETAPP!A$1:A$32,0))</f>
        <v>000000000000000000000</v>
      </c>
      <c r="T71" s="193" t="str">
        <f>TEXT(R71,"000,0")&amp;"-"&amp;S71</f>
        <v>000,0-000000000000000000000</v>
      </c>
      <c r="U71" s="193">
        <f>COUNTIF(T$7:T$126,"&gt;="&amp;T71)</f>
        <v>120</v>
      </c>
      <c r="V71" s="193">
        <f>COUNTIF(L$7:L$126,"&gt;="&amp;L71)</f>
        <v>104</v>
      </c>
      <c r="W71" s="193" t="str">
        <f>TEXT(R71,"000,0")&amp;"-"&amp;S71&amp;"-"&amp;TEXT(V71,"000")</f>
        <v>000,0-000000000000000000000-104</v>
      </c>
      <c r="X71" s="193">
        <f>COUNTIF(W$7:W$126,"&gt;="&amp;W71)</f>
        <v>65</v>
      </c>
      <c r="Y71" s="201">
        <f>RANK(X71,X$7:X$126,0)</f>
        <v>56</v>
      </c>
      <c r="Z71" s="202" t="str">
        <f>IFERROR(INDEX('V1'!C$300:C$400,MATCH("*"&amp;L71&amp;"*",'V1'!B$300:B$400,0)),"  ")</f>
        <v>  </v>
      </c>
      <c r="AA71" s="202" t="str">
        <f>IFERROR(INDEX('V2'!C$300:C$400,MATCH("*"&amp;L71&amp;"*",'V2'!B$300:B$400,0)),"  ")</f>
        <v>  </v>
      </c>
      <c r="AB71" s="202" t="str">
        <f>IFERROR(INDEX('V3'!C$300:C$400,MATCH("*"&amp;L71&amp;"*",'V3'!B$300:B$400,0)),"  ")</f>
        <v>  </v>
      </c>
      <c r="AC71" s="202" t="str">
        <f>IFERROR(INDEX('V4'!C$300:C$400,MATCH("*"&amp;L71&amp;"*",'V4'!B$300:B$400,0)),"  ")</f>
        <v>  </v>
      </c>
      <c r="AD71" s="202" t="str">
        <f>IFERROR(INDEX('V5'!C$300:C$400,MATCH("*"&amp;L71&amp;"*",'V5'!B$300:B$400,0)),"  ")</f>
        <v>  </v>
      </c>
      <c r="AE71" s="202" t="str">
        <f>IFERROR(INDEX('V6'!C$300:C$400,MATCH("*"&amp;L71&amp;"*",'V6'!B$300:B$400,0)),"  ")</f>
        <v>  </v>
      </c>
      <c r="AF71" s="202" t="str">
        <f>IFERROR(INDEX('V7'!C$300:C$400,MATCH("*"&amp;L71&amp;"*",'V7'!B$300:B$400,0)),"  ")</f>
        <v>  </v>
      </c>
      <c r="AG71" s="202" t="str">
        <f>IFERROR(INDEX('V8'!C$300:C$400,MATCH("*"&amp;L71&amp;"*",'V8'!B$300:B$400,0)),"  ")</f>
        <v>  </v>
      </c>
      <c r="AH71" s="202"/>
      <c r="AI71" s="202"/>
      <c r="AJ71" s="222" t="str">
        <f>IF(AN71&gt;(AT$2-1),K71,"")</f>
        <v/>
      </c>
      <c r="AK71" s="223">
        <f>SUM(Z71:AI71)</f>
        <v>0</v>
      </c>
      <c r="AL71" s="224" t="str">
        <f>IFERROR("edasi "&amp;RANK(AJ71,AJ$7:AJ$126,1),K71)</f>
        <v/>
      </c>
      <c r="AM71" s="225" t="str">
        <f>IFERROR(INDEX(#REF!,MATCH("*"&amp;L71&amp;"*",#REF!,0)),"  ")</f>
        <v>  </v>
      </c>
      <c r="AN71" s="226">
        <f>COUNTIF(Z71:AI71,"&gt;=0")</f>
        <v>0</v>
      </c>
      <c r="AO71" s="126">
        <f>IFERROR(IF(Z71+1&gt;LARGE(Z$7:Z$126,1)-2*LEN(Z$5),1),0)+IFERROR(IF(AA71+1&gt;LARGE(AA$7:AA$126,1)-2*LEN(AA$5),1),0)+IFERROR(IF(AB71+1&gt;LARGE(AB$7:AB$126,1)-2*LEN(AB$5),1),0)+IFERROR(IF(AC71+1&gt;LARGE(AC$7:AC$126,1)-2*LEN(AC$5),1),0)+IFERROR(IF(AD71+1&gt;LARGE(AD$7:AD$126,1)-2*LEN(AD$5),1),0)+IFERROR(IF(AE71+1&gt;LARGE(AE$7:AE$126,1)-2*LEN(AE$5),1),0)+IFERROR(IF(AF71+1&gt;LARGE(AF$7:AF$126,1)-2*LEN(AF$5),1),0)+IFERROR(IF(AG71+1&gt;LARGE(AG$7:AG$126,1)-2*LEN(AG$5),1),0)+IFERROR(IF(AH71+1&gt;LARGE(AH$7:AH$126,1)-2*LEN(AH$5),1),0)+IFERROR(IF(AI71+1&gt;LARGE(AI$7:AI$126,1)-2*LEN(AI$5),1),0)</f>
        <v>0</v>
      </c>
      <c r="AP71" s="126">
        <f>IF(Z71=0,0,IF(Z71=IFERROR(LARGE(Z$7:Z$126,1),0),1,0))+IF(AA71=0,0,IF(AA71=IFERROR(LARGE(AA$7:AA$126,1),0),1,0))+IF(AB71=0,0,IF(AB71=IFERROR(LARGE(AB$7:AB$126,1),0),1,0))+IF(AC71=0,0,IF(AC71=IFERROR(LARGE(AC$7:AC$126,1),0),1,0))+IF(AD71=0,0,IF(AD71=IFERROR(LARGE(AD$7:AD$126,1),0),1,0))+IF(AE71=0,0,IF(AE71=IFERROR(LARGE(AE$7:AE$126,1),0),1,0))+IF(AF71=0,0,IF(AF71=IFERROR(LARGE(AF$7:AF$126,1),0),1,0))+IF(AG71=0,0,IF(AG71=IFERROR(LARGE(AG$7:AG$126,1),0),1,0))+IF(AH71=0,0,IF(AH71=IFERROR(LARGE(AH$7:AH$126,1),0),1,0))+IF(AI71=0,0,IF(AI71=IFERROR(LARGE(AI$7:AI$126,1),0),1,0))</f>
        <v>0</v>
      </c>
      <c r="AQ71" s="233"/>
      <c r="AR71" s="233"/>
      <c r="AS71" s="233"/>
      <c r="AT71" s="234">
        <f>SMALL(AU71:BD71,AT$3)</f>
        <v>0.0001</v>
      </c>
      <c r="AU71" s="235">
        <f>IF(Z71="  ",0+MID(Z$6,FIND("V",Z$6)+1,256)/10000,Z71+MID(Z$6,FIND("V",Z$6)+1,256)/10000)</f>
        <v>0.0001</v>
      </c>
      <c r="AV71" s="235">
        <f>IF(AA71="  ",0+MID(AA$6,FIND("V",AA$6)+1,256)/10000,AA71+MID(AA$6,FIND("V",AA$6)+1,256)/10000)</f>
        <v>0.0002</v>
      </c>
      <c r="AW71" s="235">
        <f>IF(AB71="  ",0+MID(AB$6,FIND("V",AB$6)+1,256)/10000,AB71+MID(AB$6,FIND("V",AB$6)+1,256)/10000)</f>
        <v>0.0003</v>
      </c>
      <c r="AX71" s="235">
        <f>IF(AC71="  ",0+MID(AC$6,FIND("V",AC$6)+1,256)/10000,AC71+MID(AC$6,FIND("V",AC$6)+1,256)/10000)</f>
        <v>0.0004</v>
      </c>
      <c r="AY71" s="235">
        <f>IF(AD71="  ",0+MID(AD$6,FIND("V",AD$6)+1,256)/10000,AD71+MID(AD$6,FIND("V",AD$6)+1,256)/10000)</f>
        <v>0.0005</v>
      </c>
      <c r="AZ71" s="235">
        <f>IF(AE71="  ",0+MID(AE$6,FIND("V",AE$6)+1,256)/10000,AE71+MID(AE$6,FIND("V",AE$6)+1,256)/10000)</f>
        <v>0.0006</v>
      </c>
      <c r="BA71" s="235">
        <f>IF(AF71="  ",0+MID(AF$6,FIND("V",AF$6)+1,256)/10000,AF71+MID(AF$6,FIND("V",AF$6)+1,256)/10000)</f>
        <v>0.0007</v>
      </c>
      <c r="BB71" s="235">
        <f>IF(AG71="  ",0+MID(AG$6,FIND("V",AG$6)+1,256)/10000,AG71+MID(AG$6,FIND("V",AG$6)+1,256)/10000)</f>
        <v>0.0008</v>
      </c>
      <c r="BC71" s="235">
        <f>IF(AH71="  ",0+MID(AH$6,FIND("V",AH$6)+1,256)/10000,AH71+MID(AH$6,FIND("V",AH$6)+1,256)/10000)</f>
        <v>0.0009</v>
      </c>
      <c r="BD71" s="235">
        <f>IF(AI71="  ",0+MID(AI$6,FIND("V",AI$6)+1,256)/10000,AI71+MID(AI$6,FIND("V",AI$6)+1,256)/10000)</f>
        <v>0.001</v>
      </c>
      <c r="BE71" s="233"/>
      <c r="BF71" s="233"/>
      <c r="BG71" s="233"/>
      <c r="BH71" s="233"/>
      <c r="BI71" s="3" t="e">
        <f>(LARGE(Z$7:Z$126,1)-Z71)/2+1</f>
        <v>#VALUE!</v>
      </c>
      <c r="BJ71" s="3" t="e">
        <f>(LARGE(AA$7:AA$126,1)-AA71)/2+1</f>
        <v>#VALUE!</v>
      </c>
      <c r="BK71" s="3" t="e">
        <f>(LARGE(AB$7:AB$126,1)-AB71)/2+1</f>
        <v>#VALUE!</v>
      </c>
      <c r="BL71" s="3" t="e">
        <f>(LARGE(AC$7:AC$126,1)-AC71)/2+1</f>
        <v>#VALUE!</v>
      </c>
      <c r="BM71" s="3" t="e">
        <f>(LARGE(AD$7:AD$126,1)-AD71)/2+1</f>
        <v>#VALUE!</v>
      </c>
      <c r="BN71" s="3" t="e">
        <f>(LARGE(AE$7:AE$126,1)-AE71)/2+1</f>
        <v>#VALUE!</v>
      </c>
      <c r="BO71" s="3" t="e">
        <f>(LARGE(AF$7:AF$126,1)-AF71)/2+1</f>
        <v>#VALUE!</v>
      </c>
      <c r="BP71" s="3" t="e">
        <f>(LARGE(AG$7:AG$126,1)-AG71)/2+1</f>
        <v>#VALUE!</v>
      </c>
      <c r="BQ71" s="3" t="e">
        <f>(LARGE(AH$7:AH$126,1)-AH71)/2+1</f>
        <v>#NUM!</v>
      </c>
      <c r="BR71" s="3" t="e">
        <f>(LARGE(AI$7:AI$126,1)-AI71)/2+1</f>
        <v>#NUM!</v>
      </c>
    </row>
    <row r="72" ht="12.75" hidden="1" customHeight="1" spans="1:70">
      <c r="A72" s="139" t="str">
        <f>IF(R72&gt;0,IF(Q72="Viru SK",RANK(B72,B$7:B$126,1)-COUNTIF((Q$7:Q$126),"&lt;&gt;Viru SK"),""),"")</f>
        <v/>
      </c>
      <c r="B72" s="140">
        <f>IF((Q72="Viru SK"),U72,U72-1000)</f>
        <v>120</v>
      </c>
      <c r="C72" s="141" t="str">
        <f>IF(R72&gt;0,IF(P72="t",RANK(D72,D$7:D$126,1)-COUNTBLANK(P$7:P$126),""),"")</f>
        <v/>
      </c>
      <c r="D72" s="142">
        <f>IF((P72="t"),U72,U72-1000)</f>
        <v>120</v>
      </c>
      <c r="E72" s="143" t="str">
        <f>IF(R72&gt;0,IF(N72="m",RANK(F72,F$7:F$126,1)-COUNTBLANK(N$7:N$126),""),"")</f>
        <v/>
      </c>
      <c r="F72" s="144">
        <f>IF((N72="m"),U72,U72-1000)</f>
        <v>-880</v>
      </c>
      <c r="G72" s="145" t="str">
        <f>IF(R72&gt;0,IF(M72="n",RANK(H72,H$7:H$126,1)-COUNTBLANK(M$7:M$126),""),"")</f>
        <v/>
      </c>
      <c r="H72" s="144">
        <f>IF((M72="n"),U72,U72-1000)</f>
        <v>120</v>
      </c>
      <c r="I72" s="160" t="str">
        <f>IF(R72&gt;0,IF(O72="j",RANK(J72,J$7:J$126,1)-COUNTBLANK(O$7:O$126),""),"")</f>
        <v/>
      </c>
      <c r="J72" s="161">
        <f>IF((O72="j"),U72,U72-1000)</f>
        <v>120</v>
      </c>
      <c r="K72" s="162" t="str">
        <f>IF(R72&gt;0,RANK(U72,U$7:U$126,1),"")</f>
        <v/>
      </c>
      <c r="L72" s="163" t="s">
        <v>262</v>
      </c>
      <c r="M72" s="164" t="s">
        <v>203</v>
      </c>
      <c r="N72" s="165" t="str">
        <f>IF(M72="","m","")</f>
        <v/>
      </c>
      <c r="O72" s="166" t="s">
        <v>251</v>
      </c>
      <c r="P72" s="167" t="s">
        <v>196</v>
      </c>
      <c r="Q72" s="192" t="s">
        <v>171</v>
      </c>
      <c r="R72" s="154">
        <f>(IF(COUNT(Z72,AA72,AB72,AC72,AD72,AE72,AF72,AG72,AH72,AI72)&lt;10,SUM(Z72,AA72,AB72,AC72,AD72,AE72,AF72,AG72,AH72,AI72),SUM(LARGE((Z72,AA72,AB72,AC72,AD72,AE72,AF72,AG72,AH72,AI72),{1;2;3;4;5;6;7;8;9}))))</f>
        <v>0</v>
      </c>
      <c r="S72" s="193" t="str">
        <f>INDEX(ETAPP!B$1:B$32,MATCH(COUNTIF(BI72:BR72,1),ETAPP!A$1:A$32,0))&amp;INDEX(ETAPP!B$1:B$32,MATCH(COUNTIF(BI72:BR72,2),ETAPP!A$1:A$32,0))&amp;INDEX(ETAPP!B$1:B$32,MATCH(COUNTIF(BI72:BR72,3),ETAPP!A$1:A$32,0))&amp;INDEX(ETAPP!B$1:B$32,MATCH(COUNTIF(BI72:BR72,4),ETAPP!A$1:A$32,0))&amp;INDEX(ETAPP!B$1:B$32,MATCH(COUNTIF(BI72:BR72,5),ETAPP!A$1:A$32,0))&amp;INDEX(ETAPP!B$1:B$32,MATCH(COUNTIF(BI72:BR72,6),ETAPP!A$1:A$32,0))&amp;INDEX(ETAPP!B$1:B$32,MATCH(COUNTIF(BI72:BR72,7),ETAPP!A$1:A$32,0))&amp;INDEX(ETAPP!B$1:B$32,MATCH(COUNTIF(BI72:BR72,8),ETAPP!A$1:A$32,0))&amp;INDEX(ETAPP!B$1:B$32,MATCH(COUNTIF(BI72:BR72,9),ETAPP!A$1:A$32,0))&amp;INDEX(ETAPP!B$1:B$32,MATCH(COUNTIF(BI72:BR72,10),ETAPP!A$1:A$32,0))&amp;INDEX(ETAPP!B$1:B$32,MATCH(COUNTIF(BI72:BR72,11),ETAPP!A$1:A$32,0))&amp;INDEX(ETAPP!B$1:B$32,MATCH(COUNTIF(BI72:BR72,12),ETAPP!A$1:A$32,0))&amp;INDEX(ETAPP!B$1:B$32,MATCH(COUNTIF(BI72:BR72,13),ETAPP!A$1:A$32,0))&amp;INDEX(ETAPP!B$1:B$32,MATCH(COUNTIF(BI72:BR72,14),ETAPP!A$1:A$32,0))&amp;INDEX(ETAPP!B$1:B$32,MATCH(COUNTIF(BI72:BR72,15),ETAPP!A$1:A$32,0))&amp;INDEX(ETAPP!B$1:B$32,MATCH(COUNTIF(BI72:BR72,16),ETAPP!A$1:A$32,0))&amp;INDEX(ETAPP!B$1:B$32,MATCH(COUNTIF(BI72:BR72,17),ETAPP!A$1:A$32,0))&amp;INDEX(ETAPP!B$1:B$32,MATCH(COUNTIF(BI72:BR72,18),ETAPP!A$1:A$32,0))&amp;INDEX(ETAPP!B$1:B$32,MATCH(COUNTIF(BI72:BR72,19),ETAPP!A$1:A$32,0))&amp;INDEX(ETAPP!B$1:B$32,MATCH(COUNTIF(BI72:BR72,20),ETAPP!A$1:A$32,0))&amp;INDEX(ETAPP!B$1:B$32,MATCH(COUNTIF(BI72:BR72,21),ETAPP!A$1:A$32,0))</f>
        <v>000000000000000000000</v>
      </c>
      <c r="T72" s="193" t="str">
        <f>TEXT(R72,"000,0")&amp;"-"&amp;S72</f>
        <v>000,0-000000000000000000000</v>
      </c>
      <c r="U72" s="193">
        <f>COUNTIF(T$7:T$126,"&gt;="&amp;T72)</f>
        <v>120</v>
      </c>
      <c r="V72" s="193">
        <f>COUNTIF(L$7:L$126,"&gt;="&amp;L72)</f>
        <v>102</v>
      </c>
      <c r="W72" s="193" t="str">
        <f>TEXT(R72,"000,0")&amp;"-"&amp;S72&amp;"-"&amp;TEXT(V72,"000")</f>
        <v>000,0-000000000000000000000-102</v>
      </c>
      <c r="X72" s="193">
        <f>COUNTIF(W$7:W$126,"&gt;="&amp;W72)</f>
        <v>66</v>
      </c>
      <c r="Y72" s="201">
        <f>RANK(X72,X$7:X$126,0)</f>
        <v>55</v>
      </c>
      <c r="Z72" s="202" t="str">
        <f>IFERROR(INDEX('V1'!C$300:C$400,MATCH("*"&amp;L72&amp;"*",'V1'!B$300:B$400,0)),"  ")</f>
        <v>  </v>
      </c>
      <c r="AA72" s="202" t="str">
        <f>IFERROR(INDEX('V2'!C$300:C$400,MATCH("*"&amp;L72&amp;"*",'V2'!B$300:B$400,0)),"  ")</f>
        <v>  </v>
      </c>
      <c r="AB72" s="202" t="str">
        <f>IFERROR(INDEX('V3'!C$300:C$400,MATCH("*"&amp;L72&amp;"*",'V3'!B$300:B$400,0)),"  ")</f>
        <v>  </v>
      </c>
      <c r="AC72" s="202" t="str">
        <f>IFERROR(INDEX('V4'!C$300:C$400,MATCH("*"&amp;L72&amp;"*",'V4'!B$300:B$400,0)),"  ")</f>
        <v>  </v>
      </c>
      <c r="AD72" s="202" t="str">
        <f>IFERROR(INDEX('V5'!C$300:C$400,MATCH("*"&amp;L72&amp;"*",'V5'!B$300:B$400,0)),"  ")</f>
        <v>  </v>
      </c>
      <c r="AE72" s="202" t="str">
        <f>IFERROR(INDEX('V6'!C$300:C$400,MATCH("*"&amp;L72&amp;"*",'V6'!B$300:B$400,0)),"  ")</f>
        <v>  </v>
      </c>
      <c r="AF72" s="202" t="str">
        <f>IFERROR(INDEX('V7'!C$300:C$400,MATCH("*"&amp;L72&amp;"*",'V7'!B$300:B$400,0)),"  ")</f>
        <v>  </v>
      </c>
      <c r="AG72" s="202" t="str">
        <f>IFERROR(INDEX('V8'!C$300:C$400,MATCH("*"&amp;L72&amp;"*",'V8'!B$300:B$400,0)),"  ")</f>
        <v>  </v>
      </c>
      <c r="AH72" s="202"/>
      <c r="AI72" s="202"/>
      <c r="AJ72" s="222" t="str">
        <f>IF(AN72&gt;(AT$2-1),K72,"")</f>
        <v/>
      </c>
      <c r="AK72" s="223">
        <f>SUM(Z72:AI72)</f>
        <v>0</v>
      </c>
      <c r="AL72" s="224" t="str">
        <f>IFERROR("edasi "&amp;RANK(AJ72,AJ$7:AJ$126,1),K72)</f>
        <v/>
      </c>
      <c r="AM72" s="225" t="str">
        <f>IFERROR(INDEX(#REF!,MATCH("*"&amp;L72&amp;"*",#REF!,0)),"  ")</f>
        <v>  </v>
      </c>
      <c r="AN72" s="226">
        <f>COUNTIF(Z72:AI72,"&gt;=0")</f>
        <v>0</v>
      </c>
      <c r="AO72" s="126">
        <f>IFERROR(IF(Z72+1&gt;LARGE(Z$7:Z$126,1)-2*LEN(Z$5),1),0)+IFERROR(IF(AA72+1&gt;LARGE(AA$7:AA$126,1)-2*LEN(AA$5),1),0)+IFERROR(IF(AB72+1&gt;LARGE(AB$7:AB$126,1)-2*LEN(AB$5),1),0)+IFERROR(IF(AC72+1&gt;LARGE(AC$7:AC$126,1)-2*LEN(AC$5),1),0)+IFERROR(IF(AD72+1&gt;LARGE(AD$7:AD$126,1)-2*LEN(AD$5),1),0)+IFERROR(IF(AE72+1&gt;LARGE(AE$7:AE$126,1)-2*LEN(AE$5),1),0)+IFERROR(IF(AF72+1&gt;LARGE(AF$7:AF$126,1)-2*LEN(AF$5),1),0)+IFERROR(IF(AG72+1&gt;LARGE(AG$7:AG$126,1)-2*LEN(AG$5),1),0)+IFERROR(IF(AH72+1&gt;LARGE(AH$7:AH$126,1)-2*LEN(AH$5),1),0)+IFERROR(IF(AI72+1&gt;LARGE(AI$7:AI$126,1)-2*LEN(AI$5),1),0)</f>
        <v>0</v>
      </c>
      <c r="AP72" s="126">
        <f>IF(Z72=0,0,IF(Z72=IFERROR(LARGE(Z$7:Z$126,1),0),1,0))+IF(AA72=0,0,IF(AA72=IFERROR(LARGE(AA$7:AA$126,1),0),1,0))+IF(AB72=0,0,IF(AB72=IFERROR(LARGE(AB$7:AB$126,1),0),1,0))+IF(AC72=0,0,IF(AC72=IFERROR(LARGE(AC$7:AC$126,1),0),1,0))+IF(AD72=0,0,IF(AD72=IFERROR(LARGE(AD$7:AD$126,1),0),1,0))+IF(AE72=0,0,IF(AE72=IFERROR(LARGE(AE$7:AE$126,1),0),1,0))+IF(AF72=0,0,IF(AF72=IFERROR(LARGE(AF$7:AF$126,1),0),1,0))+IF(AG72=0,0,IF(AG72=IFERROR(LARGE(AG$7:AG$126,1),0),1,0))+IF(AH72=0,0,IF(AH72=IFERROR(LARGE(AH$7:AH$126,1),0),1,0))+IF(AI72=0,0,IF(AI72=IFERROR(LARGE(AI$7:AI$126,1),0),1,0))</f>
        <v>0</v>
      </c>
      <c r="AQ72" s="233"/>
      <c r="AR72" s="233"/>
      <c r="AS72" s="233"/>
      <c r="AT72" s="234">
        <f>SMALL(AU72:BD72,AT$3)</f>
        <v>0.0001</v>
      </c>
      <c r="AU72" s="235">
        <f>IF(Z72="  ",0+MID(Z$6,FIND("V",Z$6)+1,256)/10000,Z72+MID(Z$6,FIND("V",Z$6)+1,256)/10000)</f>
        <v>0.0001</v>
      </c>
      <c r="AV72" s="235">
        <f>IF(AA72="  ",0+MID(AA$6,FIND("V",AA$6)+1,256)/10000,AA72+MID(AA$6,FIND("V",AA$6)+1,256)/10000)</f>
        <v>0.0002</v>
      </c>
      <c r="AW72" s="235">
        <f>IF(AB72="  ",0+MID(AB$6,FIND("V",AB$6)+1,256)/10000,AB72+MID(AB$6,FIND("V",AB$6)+1,256)/10000)</f>
        <v>0.0003</v>
      </c>
      <c r="AX72" s="235">
        <f>IF(AC72="  ",0+MID(AC$6,FIND("V",AC$6)+1,256)/10000,AC72+MID(AC$6,FIND("V",AC$6)+1,256)/10000)</f>
        <v>0.0004</v>
      </c>
      <c r="AY72" s="235">
        <f>IF(AD72="  ",0+MID(AD$6,FIND("V",AD$6)+1,256)/10000,AD72+MID(AD$6,FIND("V",AD$6)+1,256)/10000)</f>
        <v>0.0005</v>
      </c>
      <c r="AZ72" s="235">
        <f>IF(AE72="  ",0+MID(AE$6,FIND("V",AE$6)+1,256)/10000,AE72+MID(AE$6,FIND("V",AE$6)+1,256)/10000)</f>
        <v>0.0006</v>
      </c>
      <c r="BA72" s="235">
        <f>IF(AF72="  ",0+MID(AF$6,FIND("V",AF$6)+1,256)/10000,AF72+MID(AF$6,FIND("V",AF$6)+1,256)/10000)</f>
        <v>0.0007</v>
      </c>
      <c r="BB72" s="235">
        <f>IF(AG72="  ",0+MID(AG$6,FIND("V",AG$6)+1,256)/10000,AG72+MID(AG$6,FIND("V",AG$6)+1,256)/10000)</f>
        <v>0.0008</v>
      </c>
      <c r="BC72" s="235">
        <f>IF(AH72="  ",0+MID(AH$6,FIND("V",AH$6)+1,256)/10000,AH72+MID(AH$6,FIND("V",AH$6)+1,256)/10000)</f>
        <v>0.0009</v>
      </c>
      <c r="BD72" s="235">
        <f>IF(AI72="  ",0+MID(AI$6,FIND("V",AI$6)+1,256)/10000,AI72+MID(AI$6,FIND("V",AI$6)+1,256)/10000)</f>
        <v>0.001</v>
      </c>
      <c r="BE72" s="233"/>
      <c r="BF72" s="233"/>
      <c r="BG72" s="233"/>
      <c r="BH72" s="233"/>
      <c r="BI72" s="3" t="e">
        <f>(LARGE(Z$7:Z$126,1)-Z72)/2+1</f>
        <v>#VALUE!</v>
      </c>
      <c r="BJ72" s="3" t="e">
        <f>(LARGE(AA$7:AA$126,1)-AA72)/2+1</f>
        <v>#VALUE!</v>
      </c>
      <c r="BK72" s="3" t="e">
        <f>(LARGE(AB$7:AB$126,1)-AB72)/2+1</f>
        <v>#VALUE!</v>
      </c>
      <c r="BL72" s="3" t="e">
        <f>(LARGE(AC$7:AC$126,1)-AC72)/2+1</f>
        <v>#VALUE!</v>
      </c>
      <c r="BM72" s="3" t="e">
        <f>(LARGE(AD$7:AD$126,1)-AD72)/2+1</f>
        <v>#VALUE!</v>
      </c>
      <c r="BN72" s="3" t="e">
        <f>(LARGE(AE$7:AE$126,1)-AE72)/2+1</f>
        <v>#VALUE!</v>
      </c>
      <c r="BO72" s="3" t="e">
        <f>(LARGE(AF$7:AF$126,1)-AF72)/2+1</f>
        <v>#VALUE!</v>
      </c>
      <c r="BP72" s="3" t="e">
        <f>(LARGE(AG$7:AG$126,1)-AG72)/2+1</f>
        <v>#VALUE!</v>
      </c>
      <c r="BQ72" s="3" t="e">
        <f>(LARGE(AH$7:AH$126,1)-AH72)/2+1</f>
        <v>#NUM!</v>
      </c>
      <c r="BR72" s="3" t="e">
        <f>(LARGE(AI$7:AI$126,1)-AI72)/2+1</f>
        <v>#NUM!</v>
      </c>
    </row>
    <row r="73" ht="12.75" hidden="1" customHeight="1" spans="1:70">
      <c r="A73" s="139" t="str">
        <f>IF(R73&gt;0,IF(Q73="Viru SK",RANK(B73,B$7:B$126,1)-COUNTIF((Q$7:Q$126),"&lt;&gt;Viru SK"),""),"")</f>
        <v/>
      </c>
      <c r="B73" s="140">
        <f>IF((Q73="Viru SK"),U73,U73-1000)</f>
        <v>-880</v>
      </c>
      <c r="C73" s="141" t="str">
        <f>IF(R73&gt;0,IF(P73="t",RANK(D73,D$7:D$126,1)-COUNTBLANK(P$7:P$126),""),"")</f>
        <v/>
      </c>
      <c r="D73" s="142">
        <f>IF((P73="t"),U73,U73-1000)</f>
        <v>-880</v>
      </c>
      <c r="E73" s="143" t="str">
        <f>IF(R73&gt;0,IF(N73="m",RANK(F73,F$7:F$126,1)-COUNTBLANK(N$7:N$126),""),"")</f>
        <v/>
      </c>
      <c r="F73" s="144">
        <f>IF((N73="m"),U73,U73-1000)</f>
        <v>120</v>
      </c>
      <c r="G73" s="145" t="str">
        <f>IF(R73&gt;0,IF(M73="n",RANK(H73,H$7:H$126,1)-COUNTBLANK(M$7:M$126),""),"")</f>
        <v/>
      </c>
      <c r="H73" s="144">
        <f>IF((M73="n"),U73,U73-1000)</f>
        <v>-880</v>
      </c>
      <c r="I73" s="160" t="str">
        <f>IF(R73&gt;0,IF(O73="j",RANK(J73,J$7:J$126,1)-COUNTBLANK(O$7:O$126),""),"")</f>
        <v/>
      </c>
      <c r="J73" s="161">
        <f>IF((O73="j"),U73,U73-1000)</f>
        <v>120</v>
      </c>
      <c r="K73" s="162" t="str">
        <f>IF(R73&gt;0,RANK(U73,U$7:U$126,1),"")</f>
        <v/>
      </c>
      <c r="L73" s="163" t="s">
        <v>263</v>
      </c>
      <c r="M73" s="164"/>
      <c r="N73" s="165" t="s">
        <v>193</v>
      </c>
      <c r="O73" s="166" t="s">
        <v>251</v>
      </c>
      <c r="P73" s="167"/>
      <c r="Q73" s="192"/>
      <c r="R73" s="154">
        <f>(IF(COUNT(Z73,AA73,AB73,AC73,AD73,AE73,AF73,AG73,AH73,AI73)&lt;10,SUM(Z73,AA73,AB73,AC73,AD73,AE73,AF73,AG73,AH73,AI73),SUM(LARGE((Z73,AA73,AB73,AC73,AD73,AE73,AF73,AG73,AH73,AI73),{1;2;3;4;5;6;7;8;9}))))</f>
        <v>0</v>
      </c>
      <c r="S73" s="193" t="str">
        <f>INDEX(ETAPP!B$1:B$32,MATCH(COUNTIF(BI73:BR73,1),ETAPP!A$1:A$32,0))&amp;INDEX(ETAPP!B$1:B$32,MATCH(COUNTIF(BI73:BR73,2),ETAPP!A$1:A$32,0))&amp;INDEX(ETAPP!B$1:B$32,MATCH(COUNTIF(BI73:BR73,3),ETAPP!A$1:A$32,0))&amp;INDEX(ETAPP!B$1:B$32,MATCH(COUNTIF(BI73:BR73,4),ETAPP!A$1:A$32,0))&amp;INDEX(ETAPP!B$1:B$32,MATCH(COUNTIF(BI73:BR73,5),ETAPP!A$1:A$32,0))&amp;INDEX(ETAPP!B$1:B$32,MATCH(COUNTIF(BI73:BR73,6),ETAPP!A$1:A$32,0))&amp;INDEX(ETAPP!B$1:B$32,MATCH(COUNTIF(BI73:BR73,7),ETAPP!A$1:A$32,0))&amp;INDEX(ETAPP!B$1:B$32,MATCH(COUNTIF(BI73:BR73,8),ETAPP!A$1:A$32,0))&amp;INDEX(ETAPP!B$1:B$32,MATCH(COUNTIF(BI73:BR73,9),ETAPP!A$1:A$32,0))&amp;INDEX(ETAPP!B$1:B$32,MATCH(COUNTIF(BI73:BR73,10),ETAPP!A$1:A$32,0))&amp;INDEX(ETAPP!B$1:B$32,MATCH(COUNTIF(BI73:BR73,11),ETAPP!A$1:A$32,0))&amp;INDEX(ETAPP!B$1:B$32,MATCH(COUNTIF(BI73:BR73,12),ETAPP!A$1:A$32,0))&amp;INDEX(ETAPP!B$1:B$32,MATCH(COUNTIF(BI73:BR73,13),ETAPP!A$1:A$32,0))&amp;INDEX(ETAPP!B$1:B$32,MATCH(COUNTIF(BI73:BR73,14),ETAPP!A$1:A$32,0))&amp;INDEX(ETAPP!B$1:B$32,MATCH(COUNTIF(BI73:BR73,15),ETAPP!A$1:A$32,0))&amp;INDEX(ETAPP!B$1:B$32,MATCH(COUNTIF(BI73:BR73,16),ETAPP!A$1:A$32,0))&amp;INDEX(ETAPP!B$1:B$32,MATCH(COUNTIF(BI73:BR73,17),ETAPP!A$1:A$32,0))&amp;INDEX(ETAPP!B$1:B$32,MATCH(COUNTIF(BI73:BR73,18),ETAPP!A$1:A$32,0))&amp;INDEX(ETAPP!B$1:B$32,MATCH(COUNTIF(BI73:BR73,19),ETAPP!A$1:A$32,0))&amp;INDEX(ETAPP!B$1:B$32,MATCH(COUNTIF(BI73:BR73,20),ETAPP!A$1:A$32,0))&amp;INDEX(ETAPP!B$1:B$32,MATCH(COUNTIF(BI73:BR73,21),ETAPP!A$1:A$32,0))</f>
        <v>000000000000000000000</v>
      </c>
      <c r="T73" s="193" t="str">
        <f>TEXT(R73,"000,0")&amp;"-"&amp;S73</f>
        <v>000,0-000000000000000000000</v>
      </c>
      <c r="U73" s="193">
        <f>COUNTIF(T$7:T$126,"&gt;="&amp;T73)</f>
        <v>120</v>
      </c>
      <c r="V73" s="193">
        <f>COUNTIF(L$7:L$126,"&gt;="&amp;L73)</f>
        <v>101</v>
      </c>
      <c r="W73" s="193" t="str">
        <f>TEXT(R73,"000,0")&amp;"-"&amp;S73&amp;"-"&amp;TEXT(V73,"000")</f>
        <v>000,0-000000000000000000000-101</v>
      </c>
      <c r="X73" s="193">
        <f>COUNTIF(W$7:W$126,"&gt;="&amp;W73)</f>
        <v>67</v>
      </c>
      <c r="Y73" s="201">
        <f>RANK(X73,X$7:X$126,0)</f>
        <v>54</v>
      </c>
      <c r="Z73" s="202" t="str">
        <f>IFERROR(INDEX('V1'!C$300:C$400,MATCH("*"&amp;L73&amp;"*",'V1'!B$300:B$400,0)),"  ")</f>
        <v>  </v>
      </c>
      <c r="AA73" s="202" t="str">
        <f>IFERROR(INDEX('V2'!C$300:C$400,MATCH("*"&amp;L73&amp;"*",'V2'!B$300:B$400,0)),"  ")</f>
        <v>  </v>
      </c>
      <c r="AB73" s="202" t="str">
        <f>IFERROR(INDEX('V3'!C$300:C$400,MATCH("*"&amp;L73&amp;"*",'V3'!B$300:B$400,0)),"  ")</f>
        <v>  </v>
      </c>
      <c r="AC73" s="202" t="str">
        <f>IFERROR(INDEX('V4'!C$300:C$400,MATCH("*"&amp;L73&amp;"*",'V4'!B$300:B$400,0)),"  ")</f>
        <v>  </v>
      </c>
      <c r="AD73" s="202" t="str">
        <f>IFERROR(INDEX('V5'!C$300:C$400,MATCH("*"&amp;L73&amp;"*",'V5'!B$300:B$400,0)),"  ")</f>
        <v>  </v>
      </c>
      <c r="AE73" s="202" t="str">
        <f>IFERROR(INDEX('V6'!C$300:C$400,MATCH("*"&amp;L73&amp;"*",'V6'!B$300:B$400,0)),"  ")</f>
        <v>  </v>
      </c>
      <c r="AF73" s="202" t="str">
        <f>IFERROR(INDEX('V7'!C$300:C$400,MATCH("*"&amp;L73&amp;"*",'V7'!B$300:B$400,0)),"  ")</f>
        <v>  </v>
      </c>
      <c r="AG73" s="202" t="str">
        <f>IFERROR(INDEX('V8'!C$300:C$400,MATCH("*"&amp;L73&amp;"*",'V8'!B$300:B$400,0)),"  ")</f>
        <v>  </v>
      </c>
      <c r="AH73" s="202"/>
      <c r="AI73" s="202"/>
      <c r="AJ73" s="222" t="str">
        <f>IF(AN73&gt;(AT$2-1),K73,"")</f>
        <v/>
      </c>
      <c r="AK73" s="223">
        <f>SUM(Z73:AI73)</f>
        <v>0</v>
      </c>
      <c r="AL73" s="224" t="str">
        <f>IFERROR("edasi "&amp;RANK(AJ73,AJ$7:AJ$126,1),K73)</f>
        <v/>
      </c>
      <c r="AM73" s="225" t="str">
        <f>IFERROR(INDEX(#REF!,MATCH("*"&amp;L73&amp;"*",#REF!,0)),"  ")</f>
        <v>  </v>
      </c>
      <c r="AN73" s="226">
        <f>COUNTIF(Z73:AI73,"&gt;=0")</f>
        <v>0</v>
      </c>
      <c r="AO73" s="126">
        <f>IFERROR(IF(Z73+1&gt;LARGE(Z$7:Z$126,1)-2*LEN(Z$5),1),0)+IFERROR(IF(AA73+1&gt;LARGE(AA$7:AA$126,1)-2*LEN(AA$5),1),0)+IFERROR(IF(AB73+1&gt;LARGE(AB$7:AB$126,1)-2*LEN(AB$5),1),0)+IFERROR(IF(AC73+1&gt;LARGE(AC$7:AC$126,1)-2*LEN(AC$5),1),0)+IFERROR(IF(AD73+1&gt;LARGE(AD$7:AD$126,1)-2*LEN(AD$5),1),0)+IFERROR(IF(AE73+1&gt;LARGE(AE$7:AE$126,1)-2*LEN(AE$5),1),0)+IFERROR(IF(AF73+1&gt;LARGE(AF$7:AF$126,1)-2*LEN(AF$5),1),0)+IFERROR(IF(AG73+1&gt;LARGE(AG$7:AG$126,1)-2*LEN(AG$5),1),0)+IFERROR(IF(AH73+1&gt;LARGE(AH$7:AH$126,1)-2*LEN(AH$5),1),0)+IFERROR(IF(AI73+1&gt;LARGE(AI$7:AI$126,1)-2*LEN(AI$5),1),0)</f>
        <v>0</v>
      </c>
      <c r="AP73" s="126">
        <f>IF(Z73=0,0,IF(Z73=IFERROR(LARGE(Z$7:Z$126,1),0),1,0))+IF(AA73=0,0,IF(AA73=IFERROR(LARGE(AA$7:AA$126,1),0),1,0))+IF(AB73=0,0,IF(AB73=IFERROR(LARGE(AB$7:AB$126,1),0),1,0))+IF(AC73=0,0,IF(AC73=IFERROR(LARGE(AC$7:AC$126,1),0),1,0))+IF(AD73=0,0,IF(AD73=IFERROR(LARGE(AD$7:AD$126,1),0),1,0))+IF(AE73=0,0,IF(AE73=IFERROR(LARGE(AE$7:AE$126,1),0),1,0))+IF(AF73=0,0,IF(AF73=IFERROR(LARGE(AF$7:AF$126,1),0),1,0))+IF(AG73=0,0,IF(AG73=IFERROR(LARGE(AG$7:AG$126,1),0),1,0))+IF(AH73=0,0,IF(AH73=IFERROR(LARGE(AH$7:AH$126,1),0),1,0))+IF(AI73=0,0,IF(AI73=IFERROR(LARGE(AI$7:AI$126,1),0),1,0))</f>
        <v>0</v>
      </c>
      <c r="AQ73" s="233"/>
      <c r="AR73" s="233"/>
      <c r="AS73" s="233"/>
      <c r="AT73" s="234">
        <f>SMALL(AU73:BD73,AT$3)</f>
        <v>0.0001</v>
      </c>
      <c r="AU73" s="235">
        <f>IF(Z73="  ",0+MID(Z$6,FIND("V",Z$6)+1,256)/10000,Z73+MID(Z$6,FIND("V",Z$6)+1,256)/10000)</f>
        <v>0.0001</v>
      </c>
      <c r="AV73" s="235">
        <f>IF(AA73="  ",0+MID(AA$6,FIND("V",AA$6)+1,256)/10000,AA73+MID(AA$6,FIND("V",AA$6)+1,256)/10000)</f>
        <v>0.0002</v>
      </c>
      <c r="AW73" s="235">
        <f>IF(AB73="  ",0+MID(AB$6,FIND("V",AB$6)+1,256)/10000,AB73+MID(AB$6,FIND("V",AB$6)+1,256)/10000)</f>
        <v>0.0003</v>
      </c>
      <c r="AX73" s="235">
        <f>IF(AC73="  ",0+MID(AC$6,FIND("V",AC$6)+1,256)/10000,AC73+MID(AC$6,FIND("V",AC$6)+1,256)/10000)</f>
        <v>0.0004</v>
      </c>
      <c r="AY73" s="235">
        <f>IF(AD73="  ",0+MID(AD$6,FIND("V",AD$6)+1,256)/10000,AD73+MID(AD$6,FIND("V",AD$6)+1,256)/10000)</f>
        <v>0.0005</v>
      </c>
      <c r="AZ73" s="235">
        <f>IF(AE73="  ",0+MID(AE$6,FIND("V",AE$6)+1,256)/10000,AE73+MID(AE$6,FIND("V",AE$6)+1,256)/10000)</f>
        <v>0.0006</v>
      </c>
      <c r="BA73" s="235">
        <f>IF(AF73="  ",0+MID(AF$6,FIND("V",AF$6)+1,256)/10000,AF73+MID(AF$6,FIND("V",AF$6)+1,256)/10000)</f>
        <v>0.0007</v>
      </c>
      <c r="BB73" s="235">
        <f>IF(AG73="  ",0+MID(AG$6,FIND("V",AG$6)+1,256)/10000,AG73+MID(AG$6,FIND("V",AG$6)+1,256)/10000)</f>
        <v>0.0008</v>
      </c>
      <c r="BC73" s="235">
        <f>IF(AH73="  ",0+MID(AH$6,FIND("V",AH$6)+1,256)/10000,AH73+MID(AH$6,FIND("V",AH$6)+1,256)/10000)</f>
        <v>0.0009</v>
      </c>
      <c r="BD73" s="235">
        <f>IF(AI73="  ",0+MID(AI$6,FIND("V",AI$6)+1,256)/10000,AI73+MID(AI$6,FIND("V",AI$6)+1,256)/10000)</f>
        <v>0.001</v>
      </c>
      <c r="BE73" s="233"/>
      <c r="BF73" s="233"/>
      <c r="BG73" s="233"/>
      <c r="BH73" s="233"/>
      <c r="BI73" s="3" t="e">
        <f>(LARGE(Z$7:Z$126,1)-Z73)/2+1</f>
        <v>#VALUE!</v>
      </c>
      <c r="BJ73" s="3" t="e">
        <f>(LARGE(AA$7:AA$126,1)-AA73)/2+1</f>
        <v>#VALUE!</v>
      </c>
      <c r="BK73" s="3" t="e">
        <f>(LARGE(AB$7:AB$126,1)-AB73)/2+1</f>
        <v>#VALUE!</v>
      </c>
      <c r="BL73" s="3" t="e">
        <f>(LARGE(AC$7:AC$126,1)-AC73)/2+1</f>
        <v>#VALUE!</v>
      </c>
      <c r="BM73" s="3" t="e">
        <f>(LARGE(AD$7:AD$126,1)-AD73)/2+1</f>
        <v>#VALUE!</v>
      </c>
      <c r="BN73" s="3" t="e">
        <f>(LARGE(AE$7:AE$126,1)-AE73)/2+1</f>
        <v>#VALUE!</v>
      </c>
      <c r="BO73" s="3" t="e">
        <f>(LARGE(AF$7:AF$126,1)-AF73)/2+1</f>
        <v>#VALUE!</v>
      </c>
      <c r="BP73" s="3" t="e">
        <f>(LARGE(AG$7:AG$126,1)-AG73)/2+1</f>
        <v>#VALUE!</v>
      </c>
      <c r="BQ73" s="3" t="e">
        <f>(LARGE(AH$7:AH$126,1)-AH73)/2+1</f>
        <v>#NUM!</v>
      </c>
      <c r="BR73" s="3" t="e">
        <f>(LARGE(AI$7:AI$126,1)-AI73)/2+1</f>
        <v>#NUM!</v>
      </c>
    </row>
    <row r="74" ht="12.75" hidden="1" customHeight="1" spans="1:70">
      <c r="A74" s="139" t="str">
        <f>IF(R74&gt;0,IF(Q74="Viru SK",RANK(B74,B$7:B$126,1)-COUNTIF((Q$7:Q$126),"&lt;&gt;Viru SK"),""),"")</f>
        <v/>
      </c>
      <c r="B74" s="140">
        <f>IF((Q74="Viru SK"),U74,U74-1000)</f>
        <v>-880</v>
      </c>
      <c r="C74" s="141" t="str">
        <f>IF(R74&gt;0,IF(P74="t",RANK(D74,D$7:D$126,1)-COUNTBLANK(P$7:P$126),""),"")</f>
        <v/>
      </c>
      <c r="D74" s="142">
        <f>IF((P74="t"),U74,U74-1000)</f>
        <v>-880</v>
      </c>
      <c r="E74" s="143" t="str">
        <f>IF(R74&gt;0,IF(N74="m",RANK(F74,F$7:F$126,1)-COUNTBLANK(N$7:N$126),""),"")</f>
        <v/>
      </c>
      <c r="F74" s="144">
        <f>IF((N74="m"),U74,U74-1000)</f>
        <v>120</v>
      </c>
      <c r="G74" s="145" t="str">
        <f>IF(R74&gt;0,IF(M74="n",RANK(H74,H$7:H$126,1)-COUNTBLANK(M$7:M$126),""),"")</f>
        <v/>
      </c>
      <c r="H74" s="144">
        <f>IF((M74="n"),U74,U74-1000)</f>
        <v>-880</v>
      </c>
      <c r="I74" s="160" t="str">
        <f>IF(R74&gt;0,IF(O74="j",RANK(J74,J$7:J$126,1)-COUNTBLANK(O$7:O$126),""),"")</f>
        <v/>
      </c>
      <c r="J74" s="161">
        <f>IF((O74="j"),U74,U74-1000)</f>
        <v>-880</v>
      </c>
      <c r="K74" s="162" t="str">
        <f>IF(R74&gt;0,RANK(U74,U$7:U$126,1),"")</f>
        <v/>
      </c>
      <c r="L74" s="163" t="s">
        <v>264</v>
      </c>
      <c r="M74" s="164"/>
      <c r="N74" s="165" t="s">
        <v>193</v>
      </c>
      <c r="O74" s="166"/>
      <c r="P74" s="167"/>
      <c r="Q74" s="192"/>
      <c r="R74" s="154">
        <f>(IF(COUNT(Z74,AA74,AB74,AC74,AD74,AE74,AF74,AG74,AH74,AI74)&lt;10,SUM(Z74,AA74,AB74,AC74,AD74,AE74,AF74,AG74,AH74,AI74),SUM(LARGE((Z74,AA74,AB74,AC74,AD74,AE74,AF74,AG74,AH74,AI74),{1;2;3;4;5;6;7;8;9}))))</f>
        <v>0</v>
      </c>
      <c r="S74" s="193" t="str">
        <f>INDEX(ETAPP!B$1:B$32,MATCH(COUNTIF(BI74:BR74,1),ETAPP!A$1:A$32,0))&amp;INDEX(ETAPP!B$1:B$32,MATCH(COUNTIF(BI74:BR74,2),ETAPP!A$1:A$32,0))&amp;INDEX(ETAPP!B$1:B$32,MATCH(COUNTIF(BI74:BR74,3),ETAPP!A$1:A$32,0))&amp;INDEX(ETAPP!B$1:B$32,MATCH(COUNTIF(BI74:BR74,4),ETAPP!A$1:A$32,0))&amp;INDEX(ETAPP!B$1:B$32,MATCH(COUNTIF(BI74:BR74,5),ETAPP!A$1:A$32,0))&amp;INDEX(ETAPP!B$1:B$32,MATCH(COUNTIF(BI74:BR74,6),ETAPP!A$1:A$32,0))&amp;INDEX(ETAPP!B$1:B$32,MATCH(COUNTIF(BI74:BR74,7),ETAPP!A$1:A$32,0))&amp;INDEX(ETAPP!B$1:B$32,MATCH(COUNTIF(BI74:BR74,8),ETAPP!A$1:A$32,0))&amp;INDEX(ETAPP!B$1:B$32,MATCH(COUNTIF(BI74:BR74,9),ETAPP!A$1:A$32,0))&amp;INDEX(ETAPP!B$1:B$32,MATCH(COUNTIF(BI74:BR74,10),ETAPP!A$1:A$32,0))&amp;INDEX(ETAPP!B$1:B$32,MATCH(COUNTIF(BI74:BR74,11),ETAPP!A$1:A$32,0))&amp;INDEX(ETAPP!B$1:B$32,MATCH(COUNTIF(BI74:BR74,12),ETAPP!A$1:A$32,0))&amp;INDEX(ETAPP!B$1:B$32,MATCH(COUNTIF(BI74:BR74,13),ETAPP!A$1:A$32,0))&amp;INDEX(ETAPP!B$1:B$32,MATCH(COUNTIF(BI74:BR74,14),ETAPP!A$1:A$32,0))&amp;INDEX(ETAPP!B$1:B$32,MATCH(COUNTIF(BI74:BR74,15),ETAPP!A$1:A$32,0))&amp;INDEX(ETAPP!B$1:B$32,MATCH(COUNTIF(BI74:BR74,16),ETAPP!A$1:A$32,0))&amp;INDEX(ETAPP!B$1:B$32,MATCH(COUNTIF(BI74:BR74,17),ETAPP!A$1:A$32,0))&amp;INDEX(ETAPP!B$1:B$32,MATCH(COUNTIF(BI74:BR74,18),ETAPP!A$1:A$32,0))&amp;INDEX(ETAPP!B$1:B$32,MATCH(COUNTIF(BI74:BR74,19),ETAPP!A$1:A$32,0))&amp;INDEX(ETAPP!B$1:B$32,MATCH(COUNTIF(BI74:BR74,20),ETAPP!A$1:A$32,0))&amp;INDEX(ETAPP!B$1:B$32,MATCH(COUNTIF(BI74:BR74,21),ETAPP!A$1:A$32,0))</f>
        <v>000000000000000000000</v>
      </c>
      <c r="T74" s="193" t="str">
        <f>TEXT(R74,"000,0")&amp;"-"&amp;S74</f>
        <v>000,0-000000000000000000000</v>
      </c>
      <c r="U74" s="193">
        <f>COUNTIF(T$7:T$126,"&gt;="&amp;T74)</f>
        <v>120</v>
      </c>
      <c r="V74" s="193">
        <f>COUNTIF(L$7:L$126,"&gt;="&amp;L74)</f>
        <v>100</v>
      </c>
      <c r="W74" s="193" t="str">
        <f>TEXT(R74,"000,0")&amp;"-"&amp;S74&amp;"-"&amp;TEXT(V74,"000")</f>
        <v>000,0-000000000000000000000-100</v>
      </c>
      <c r="X74" s="193">
        <f>COUNTIF(W$7:W$126,"&gt;="&amp;W74)</f>
        <v>68</v>
      </c>
      <c r="Y74" s="201">
        <f>RANK(X74,X$7:X$126,0)</f>
        <v>53</v>
      </c>
      <c r="Z74" s="202" t="str">
        <f>IFERROR(INDEX('V1'!C$300:C$400,MATCH("*"&amp;L74&amp;"*",'V1'!B$300:B$400,0)),"  ")</f>
        <v>  </v>
      </c>
      <c r="AA74" s="202" t="str">
        <f>IFERROR(INDEX('V2'!C$300:C$400,MATCH("*"&amp;L74&amp;"*",'V2'!B$300:B$400,0)),"  ")</f>
        <v>  </v>
      </c>
      <c r="AB74" s="202" t="str">
        <f>IFERROR(INDEX('V3'!C$300:C$400,MATCH("*"&amp;L74&amp;"*",'V3'!B$300:B$400,0)),"  ")</f>
        <v>  </v>
      </c>
      <c r="AC74" s="202" t="str">
        <f>IFERROR(INDEX('V4'!C$300:C$400,MATCH("*"&amp;L74&amp;"*",'V4'!B$300:B$400,0)),"  ")</f>
        <v>  </v>
      </c>
      <c r="AD74" s="202" t="str">
        <f>IFERROR(INDEX('V5'!C$300:C$400,MATCH("*"&amp;L74&amp;"*",'V5'!B$300:B$400,0)),"  ")</f>
        <v>  </v>
      </c>
      <c r="AE74" s="202" t="str">
        <f>IFERROR(INDEX('V6'!C$300:C$400,MATCH("*"&amp;L74&amp;"*",'V6'!B$300:B$400,0)),"  ")</f>
        <v>  </v>
      </c>
      <c r="AF74" s="202" t="str">
        <f>IFERROR(INDEX('V7'!C$300:C$400,MATCH("*"&amp;L74&amp;"*",'V7'!B$300:B$400,0)),"  ")</f>
        <v>  </v>
      </c>
      <c r="AG74" s="202" t="str">
        <f>IFERROR(INDEX('V8'!C$300:C$400,MATCH("*"&amp;L74&amp;"*",'V8'!B$300:B$400,0)),"  ")</f>
        <v>  </v>
      </c>
      <c r="AH74" s="202"/>
      <c r="AI74" s="202"/>
      <c r="AJ74" s="222" t="str">
        <f>IF(AN74&gt;(AT$2-1),K74,"")</f>
        <v/>
      </c>
      <c r="AK74" s="223">
        <f>SUM(Z74:AI74)</f>
        <v>0</v>
      </c>
      <c r="AL74" s="224" t="str">
        <f>IFERROR("edasi "&amp;RANK(AJ74,AJ$7:AJ$126,1),K74)</f>
        <v/>
      </c>
      <c r="AM74" s="225" t="str">
        <f>IFERROR(INDEX(#REF!,MATCH("*"&amp;L74&amp;"*",#REF!,0)),"  ")</f>
        <v>  </v>
      </c>
      <c r="AN74" s="226">
        <f>COUNTIF(Z74:AI74,"&gt;=0")</f>
        <v>0</v>
      </c>
      <c r="AO74" s="126">
        <f>IFERROR(IF(Z74+1&gt;LARGE(Z$7:Z$126,1)-2*LEN(Z$5),1),0)+IFERROR(IF(AA74+1&gt;LARGE(AA$7:AA$126,1)-2*LEN(AA$5),1),0)+IFERROR(IF(AB74+1&gt;LARGE(AB$7:AB$126,1)-2*LEN(AB$5),1),0)+IFERROR(IF(AC74+1&gt;LARGE(AC$7:AC$126,1)-2*LEN(AC$5),1),0)+IFERROR(IF(AD74+1&gt;LARGE(AD$7:AD$126,1)-2*LEN(AD$5),1),0)+IFERROR(IF(AE74+1&gt;LARGE(AE$7:AE$126,1)-2*LEN(AE$5),1),0)+IFERROR(IF(AF74+1&gt;LARGE(AF$7:AF$126,1)-2*LEN(AF$5),1),0)+IFERROR(IF(AG74+1&gt;LARGE(AG$7:AG$126,1)-2*LEN(AG$5),1),0)+IFERROR(IF(AH74+1&gt;LARGE(AH$7:AH$126,1)-2*LEN(AH$5),1),0)+IFERROR(IF(AI74+1&gt;LARGE(AI$7:AI$126,1)-2*LEN(AI$5),1),0)</f>
        <v>0</v>
      </c>
      <c r="AP74" s="126">
        <f>IF(Z74=0,0,IF(Z74=IFERROR(LARGE(Z$7:Z$126,1),0),1,0))+IF(AA74=0,0,IF(AA74=IFERROR(LARGE(AA$7:AA$126,1),0),1,0))+IF(AB74=0,0,IF(AB74=IFERROR(LARGE(AB$7:AB$126,1),0),1,0))+IF(AC74=0,0,IF(AC74=IFERROR(LARGE(AC$7:AC$126,1),0),1,0))+IF(AD74=0,0,IF(AD74=IFERROR(LARGE(AD$7:AD$126,1),0),1,0))+IF(AE74=0,0,IF(AE74=IFERROR(LARGE(AE$7:AE$126,1),0),1,0))+IF(AF74=0,0,IF(AF74=IFERROR(LARGE(AF$7:AF$126,1),0),1,0))+IF(AG74=0,0,IF(AG74=IFERROR(LARGE(AG$7:AG$126,1),0),1,0))+IF(AH74=0,0,IF(AH74=IFERROR(LARGE(AH$7:AH$126,1),0),1,0))+IF(AI74=0,0,IF(AI74=IFERROR(LARGE(AI$7:AI$126,1),0),1,0))</f>
        <v>0</v>
      </c>
      <c r="AQ74" s="233"/>
      <c r="AR74" s="233"/>
      <c r="AS74" s="233"/>
      <c r="AT74" s="234">
        <f>SMALL(AU74:BD74,AT$3)</f>
        <v>0.0001</v>
      </c>
      <c r="AU74" s="235">
        <f>IF(Z74="  ",0+MID(Z$6,FIND("V",Z$6)+1,256)/10000,Z74+MID(Z$6,FIND("V",Z$6)+1,256)/10000)</f>
        <v>0.0001</v>
      </c>
      <c r="AV74" s="235">
        <f>IF(AA74="  ",0+MID(AA$6,FIND("V",AA$6)+1,256)/10000,AA74+MID(AA$6,FIND("V",AA$6)+1,256)/10000)</f>
        <v>0.0002</v>
      </c>
      <c r="AW74" s="235">
        <f>IF(AB74="  ",0+MID(AB$6,FIND("V",AB$6)+1,256)/10000,AB74+MID(AB$6,FIND("V",AB$6)+1,256)/10000)</f>
        <v>0.0003</v>
      </c>
      <c r="AX74" s="235">
        <f>IF(AC74="  ",0+MID(AC$6,FIND("V",AC$6)+1,256)/10000,AC74+MID(AC$6,FIND("V",AC$6)+1,256)/10000)</f>
        <v>0.0004</v>
      </c>
      <c r="AY74" s="235">
        <f>IF(AD74="  ",0+MID(AD$6,FIND("V",AD$6)+1,256)/10000,AD74+MID(AD$6,FIND("V",AD$6)+1,256)/10000)</f>
        <v>0.0005</v>
      </c>
      <c r="AZ74" s="235">
        <f>IF(AE74="  ",0+MID(AE$6,FIND("V",AE$6)+1,256)/10000,AE74+MID(AE$6,FIND("V",AE$6)+1,256)/10000)</f>
        <v>0.0006</v>
      </c>
      <c r="BA74" s="235">
        <f>IF(AF74="  ",0+MID(AF$6,FIND("V",AF$6)+1,256)/10000,AF74+MID(AF$6,FIND("V",AF$6)+1,256)/10000)</f>
        <v>0.0007</v>
      </c>
      <c r="BB74" s="235">
        <f>IF(AG74="  ",0+MID(AG$6,FIND("V",AG$6)+1,256)/10000,AG74+MID(AG$6,FIND("V",AG$6)+1,256)/10000)</f>
        <v>0.0008</v>
      </c>
      <c r="BC74" s="235">
        <f>IF(AH74="  ",0+MID(AH$6,FIND("V",AH$6)+1,256)/10000,AH74+MID(AH$6,FIND("V",AH$6)+1,256)/10000)</f>
        <v>0.0009</v>
      </c>
      <c r="BD74" s="235">
        <f>IF(AI74="  ",0+MID(AI$6,FIND("V",AI$6)+1,256)/10000,AI74+MID(AI$6,FIND("V",AI$6)+1,256)/10000)</f>
        <v>0.001</v>
      </c>
      <c r="BE74" s="233"/>
      <c r="BF74" s="233"/>
      <c r="BG74" s="233"/>
      <c r="BH74" s="233"/>
      <c r="BI74" s="3" t="e">
        <f>(LARGE(Z$7:Z$126,1)-Z74)/2+1</f>
        <v>#VALUE!</v>
      </c>
      <c r="BJ74" s="3" t="e">
        <f>(LARGE(AA$7:AA$126,1)-AA74)/2+1</f>
        <v>#VALUE!</v>
      </c>
      <c r="BK74" s="3" t="e">
        <f>(LARGE(AB$7:AB$126,1)-AB74)/2+1</f>
        <v>#VALUE!</v>
      </c>
      <c r="BL74" s="3" t="e">
        <f>(LARGE(AC$7:AC$126,1)-AC74)/2+1</f>
        <v>#VALUE!</v>
      </c>
      <c r="BM74" s="3" t="e">
        <f>(LARGE(AD$7:AD$126,1)-AD74)/2+1</f>
        <v>#VALUE!</v>
      </c>
      <c r="BN74" s="3" t="e">
        <f>(LARGE(AE$7:AE$126,1)-AE74)/2+1</f>
        <v>#VALUE!</v>
      </c>
      <c r="BO74" s="3" t="e">
        <f>(LARGE(AF$7:AF$126,1)-AF74)/2+1</f>
        <v>#VALUE!</v>
      </c>
      <c r="BP74" s="3" t="e">
        <f>(LARGE(AG$7:AG$126,1)-AG74)/2+1</f>
        <v>#VALUE!</v>
      </c>
      <c r="BQ74" s="3" t="e">
        <f>(LARGE(AH$7:AH$126,1)-AH74)/2+1</f>
        <v>#NUM!</v>
      </c>
      <c r="BR74" s="3" t="e">
        <f>(LARGE(AI$7:AI$126,1)-AI74)/2+1</f>
        <v>#NUM!</v>
      </c>
    </row>
    <row r="75" ht="12.75" hidden="1" customHeight="1" spans="1:70">
      <c r="A75" s="139" t="str">
        <f>IF(R75&gt;0,IF(Q75="Viru SK",RANK(B75,B$7:B$126,1)-COUNTIF((Q$7:Q$126),"&lt;&gt;Viru SK"),""),"")</f>
        <v/>
      </c>
      <c r="B75" s="140">
        <f>IF((Q75="Viru SK"),U75,U75-1000)</f>
        <v>-880</v>
      </c>
      <c r="C75" s="141" t="str">
        <f>IF(R75&gt;0,IF(P75="t",RANK(D75,D$7:D$126,1)-COUNTBLANK(P$7:P$126),""),"")</f>
        <v/>
      </c>
      <c r="D75" s="142">
        <f>IF((P75="t"),U75,U75-1000)</f>
        <v>-880</v>
      </c>
      <c r="E75" s="143" t="str">
        <f>IF(R75&gt;0,IF(N75="m",RANK(F75,F$7:F$126,1)-COUNTBLANK(N$7:N$126),""),"")</f>
        <v/>
      </c>
      <c r="F75" s="144">
        <f>IF((N75="m"),U75,U75-1000)</f>
        <v>-880</v>
      </c>
      <c r="G75" s="145" t="str">
        <f>IF(R75&gt;0,IF(M75="n",RANK(H75,H$7:H$126,1)-COUNTBLANK(M$7:M$126),""),"")</f>
        <v/>
      </c>
      <c r="H75" s="144">
        <f>IF((M75="n"),U75,U75-1000)</f>
        <v>-880</v>
      </c>
      <c r="I75" s="160" t="str">
        <f>IF(R75&gt;0,IF(O75="j",RANK(J75,J$7:J$126,1)-COUNTBLANK(O$7:O$126),""),"")</f>
        <v/>
      </c>
      <c r="J75" s="161">
        <f>IF((O75="j"),U75,U75-1000)</f>
        <v>-880</v>
      </c>
      <c r="K75" s="162" t="str">
        <f>IF(R75&gt;0,RANK(U75,U$7:U$126,1),"")</f>
        <v/>
      </c>
      <c r="L75" s="163" t="s">
        <v>265</v>
      </c>
      <c r="M75" s="164"/>
      <c r="N75" s="165"/>
      <c r="O75" s="166"/>
      <c r="P75" s="167"/>
      <c r="Q75" s="192"/>
      <c r="R75" s="154">
        <f>(IF(COUNT(Z75,AA75,AB75,AC75,AD75,AE75,AF75,AG75,AH75,AI75)&lt;10,SUM(Z75,AA75,AB75,AC75,AD75,AE75,AF75,AG75,AH75,AI75),SUM(LARGE((Z75,AA75,AB75,AC75,AD75,AE75,AF75,AG75,AH75,AI75),{1;2;3;4;5;6;7;8;9}))))</f>
        <v>0</v>
      </c>
      <c r="S75" s="193" t="str">
        <f>INDEX(ETAPP!B$1:B$32,MATCH(COUNTIF(BI75:BR75,1),ETAPP!A$1:A$32,0))&amp;INDEX(ETAPP!B$1:B$32,MATCH(COUNTIF(BI75:BR75,2),ETAPP!A$1:A$32,0))&amp;INDEX(ETAPP!B$1:B$32,MATCH(COUNTIF(BI75:BR75,3),ETAPP!A$1:A$32,0))&amp;INDEX(ETAPP!B$1:B$32,MATCH(COUNTIF(BI75:BR75,4),ETAPP!A$1:A$32,0))&amp;INDEX(ETAPP!B$1:B$32,MATCH(COUNTIF(BI75:BR75,5),ETAPP!A$1:A$32,0))&amp;INDEX(ETAPP!B$1:B$32,MATCH(COUNTIF(BI75:BR75,6),ETAPP!A$1:A$32,0))&amp;INDEX(ETAPP!B$1:B$32,MATCH(COUNTIF(BI75:BR75,7),ETAPP!A$1:A$32,0))&amp;INDEX(ETAPP!B$1:B$32,MATCH(COUNTIF(BI75:BR75,8),ETAPP!A$1:A$32,0))&amp;INDEX(ETAPP!B$1:B$32,MATCH(COUNTIF(BI75:BR75,9),ETAPP!A$1:A$32,0))&amp;INDEX(ETAPP!B$1:B$32,MATCH(COUNTIF(BI75:BR75,10),ETAPP!A$1:A$32,0))&amp;INDEX(ETAPP!B$1:B$32,MATCH(COUNTIF(BI75:BR75,11),ETAPP!A$1:A$32,0))&amp;INDEX(ETAPP!B$1:B$32,MATCH(COUNTIF(BI75:BR75,12),ETAPP!A$1:A$32,0))&amp;INDEX(ETAPP!B$1:B$32,MATCH(COUNTIF(BI75:BR75,13),ETAPP!A$1:A$32,0))&amp;INDEX(ETAPP!B$1:B$32,MATCH(COUNTIF(BI75:BR75,14),ETAPP!A$1:A$32,0))&amp;INDEX(ETAPP!B$1:B$32,MATCH(COUNTIF(BI75:BR75,15),ETAPP!A$1:A$32,0))&amp;INDEX(ETAPP!B$1:B$32,MATCH(COUNTIF(BI75:BR75,16),ETAPP!A$1:A$32,0))&amp;INDEX(ETAPP!B$1:B$32,MATCH(COUNTIF(BI75:BR75,17),ETAPP!A$1:A$32,0))&amp;INDEX(ETAPP!B$1:B$32,MATCH(COUNTIF(BI75:BR75,18),ETAPP!A$1:A$32,0))&amp;INDEX(ETAPP!B$1:B$32,MATCH(COUNTIF(BI75:BR75,19),ETAPP!A$1:A$32,0))&amp;INDEX(ETAPP!B$1:B$32,MATCH(COUNTIF(BI75:BR75,20),ETAPP!A$1:A$32,0))&amp;INDEX(ETAPP!B$1:B$32,MATCH(COUNTIF(BI75:BR75,21),ETAPP!A$1:A$32,0))</f>
        <v>000000000000000000000</v>
      </c>
      <c r="T75" s="193" t="str">
        <f>TEXT(R75,"000,0")&amp;"-"&amp;S75</f>
        <v>000,0-000000000000000000000</v>
      </c>
      <c r="U75" s="193">
        <f>COUNTIF(T$7:T$126,"&gt;="&amp;T75)</f>
        <v>120</v>
      </c>
      <c r="V75" s="193">
        <f>COUNTIF(L$7:L$126,"&gt;="&amp;L75)</f>
        <v>99</v>
      </c>
      <c r="W75" s="193" t="str">
        <f>TEXT(R75,"000,0")&amp;"-"&amp;S75&amp;"-"&amp;TEXT(V75,"000")</f>
        <v>000,0-000000000000000000000-099</v>
      </c>
      <c r="X75" s="193">
        <f>COUNTIF(W$7:W$126,"&gt;="&amp;W75)</f>
        <v>69</v>
      </c>
      <c r="Y75" s="201">
        <f>RANK(X75,X$7:X$126,0)</f>
        <v>52</v>
      </c>
      <c r="Z75" s="202" t="str">
        <f>IFERROR(INDEX('V1'!C$300:C$400,MATCH("*"&amp;L75&amp;"*",'V1'!B$300:B$400,0)),"  ")</f>
        <v>  </v>
      </c>
      <c r="AA75" s="202" t="str">
        <f>IFERROR(INDEX('V2'!C$300:C$400,MATCH("*"&amp;L75&amp;"*",'V2'!B$300:B$400,0)),"  ")</f>
        <v>  </v>
      </c>
      <c r="AB75" s="202" t="str">
        <f>IFERROR(INDEX('V3'!C$300:C$400,MATCH("*"&amp;L75&amp;"*",'V3'!B$300:B$400,0)),"  ")</f>
        <v>  </v>
      </c>
      <c r="AC75" s="202" t="str">
        <f>IFERROR(INDEX('V4'!C$300:C$400,MATCH("*"&amp;L75&amp;"*",'V4'!B$300:B$400,0)),"  ")</f>
        <v>  </v>
      </c>
      <c r="AD75" s="202" t="str">
        <f>IFERROR(INDEX('V5'!C$300:C$400,MATCH("*"&amp;L75&amp;"*",'V5'!B$300:B$400,0)),"  ")</f>
        <v>  </v>
      </c>
      <c r="AE75" s="202" t="str">
        <f>IFERROR(INDEX('V6'!C$300:C$400,MATCH("*"&amp;L75&amp;"*",'V6'!B$300:B$400,0)),"  ")</f>
        <v>  </v>
      </c>
      <c r="AF75" s="202" t="str">
        <f>IFERROR(INDEX('V7'!C$300:C$400,MATCH("*"&amp;L75&amp;"*",'V7'!B$300:B$400,0)),"  ")</f>
        <v>  </v>
      </c>
      <c r="AG75" s="202" t="str">
        <f>IFERROR(INDEX('V8'!C$300:C$400,MATCH("*"&amp;L75&amp;"*",'V8'!B$300:B$400,0)),"  ")</f>
        <v>  </v>
      </c>
      <c r="AH75" s="202"/>
      <c r="AI75" s="202"/>
      <c r="AJ75" s="222" t="str">
        <f>IF(AN75&gt;(AT$2-1),K75,"")</f>
        <v/>
      </c>
      <c r="AK75" s="223">
        <f>SUM(Z75:AI75)</f>
        <v>0</v>
      </c>
      <c r="AL75" s="224" t="str">
        <f>IFERROR("edasi "&amp;RANK(AJ75,AJ$7:AJ$126,1),K75)</f>
        <v/>
      </c>
      <c r="AM75" s="225" t="str">
        <f>IFERROR(INDEX(#REF!,MATCH("*"&amp;L75&amp;"*",#REF!,0)),"  ")</f>
        <v>  </v>
      </c>
      <c r="AN75" s="226">
        <f>COUNTIF(Z75:AI75,"&gt;=0")</f>
        <v>0</v>
      </c>
      <c r="AO75" s="126">
        <f>IFERROR(IF(Z75+1&gt;LARGE(Z$7:Z$126,1)-2*LEN(Z$5),1),0)+IFERROR(IF(AA75+1&gt;LARGE(AA$7:AA$126,1)-2*LEN(AA$5),1),0)+IFERROR(IF(AB75+1&gt;LARGE(AB$7:AB$126,1)-2*LEN(AB$5),1),0)+IFERROR(IF(AC75+1&gt;LARGE(AC$7:AC$126,1)-2*LEN(AC$5),1),0)+IFERROR(IF(AD75+1&gt;LARGE(AD$7:AD$126,1)-2*LEN(AD$5),1),0)+IFERROR(IF(AE75+1&gt;LARGE(AE$7:AE$126,1)-2*LEN(AE$5),1),0)+IFERROR(IF(AF75+1&gt;LARGE(AF$7:AF$126,1)-2*LEN(AF$5),1),0)+IFERROR(IF(AG75+1&gt;LARGE(AG$7:AG$126,1)-2*LEN(AG$5),1),0)+IFERROR(IF(AH75+1&gt;LARGE(AH$7:AH$126,1)-2*LEN(AH$5),1),0)+IFERROR(IF(AI75+1&gt;LARGE(AI$7:AI$126,1)-2*LEN(AI$5),1),0)</f>
        <v>0</v>
      </c>
      <c r="AP75" s="126">
        <f>IF(Z75=0,0,IF(Z75=IFERROR(LARGE(Z$7:Z$126,1),0),1,0))+IF(AA75=0,0,IF(AA75=IFERROR(LARGE(AA$7:AA$126,1),0),1,0))+IF(AB75=0,0,IF(AB75=IFERROR(LARGE(AB$7:AB$126,1),0),1,0))+IF(AC75=0,0,IF(AC75=IFERROR(LARGE(AC$7:AC$126,1),0),1,0))+IF(AD75=0,0,IF(AD75=IFERROR(LARGE(AD$7:AD$126,1),0),1,0))+IF(AE75=0,0,IF(AE75=IFERROR(LARGE(AE$7:AE$126,1),0),1,0))+IF(AF75=0,0,IF(AF75=IFERROR(LARGE(AF$7:AF$126,1),0),1,0))+IF(AG75=0,0,IF(AG75=IFERROR(LARGE(AG$7:AG$126,1),0),1,0))+IF(AH75=0,0,IF(AH75=IFERROR(LARGE(AH$7:AH$126,1),0),1,0))+IF(AI75=0,0,IF(AI75=IFERROR(LARGE(AI$7:AI$126,1),0),1,0))</f>
        <v>0</v>
      </c>
      <c r="AQ75" s="233"/>
      <c r="AR75" s="233"/>
      <c r="AS75" s="233"/>
      <c r="AT75" s="234">
        <f>SMALL(AU75:BD75,AT$3)</f>
        <v>0.0001</v>
      </c>
      <c r="AU75" s="235">
        <f>IF(Z75="  ",0+MID(Z$6,FIND("V",Z$6)+1,256)/10000,Z75+MID(Z$6,FIND("V",Z$6)+1,256)/10000)</f>
        <v>0.0001</v>
      </c>
      <c r="AV75" s="235">
        <f>IF(AA75="  ",0+MID(AA$6,FIND("V",AA$6)+1,256)/10000,AA75+MID(AA$6,FIND("V",AA$6)+1,256)/10000)</f>
        <v>0.0002</v>
      </c>
      <c r="AW75" s="235">
        <f>IF(AB75="  ",0+MID(AB$6,FIND("V",AB$6)+1,256)/10000,AB75+MID(AB$6,FIND("V",AB$6)+1,256)/10000)</f>
        <v>0.0003</v>
      </c>
      <c r="AX75" s="235">
        <f>IF(AC75="  ",0+MID(AC$6,FIND("V",AC$6)+1,256)/10000,AC75+MID(AC$6,FIND("V",AC$6)+1,256)/10000)</f>
        <v>0.0004</v>
      </c>
      <c r="AY75" s="235">
        <f>IF(AD75="  ",0+MID(AD$6,FIND("V",AD$6)+1,256)/10000,AD75+MID(AD$6,FIND("V",AD$6)+1,256)/10000)</f>
        <v>0.0005</v>
      </c>
      <c r="AZ75" s="235">
        <f>IF(AE75="  ",0+MID(AE$6,FIND("V",AE$6)+1,256)/10000,AE75+MID(AE$6,FIND("V",AE$6)+1,256)/10000)</f>
        <v>0.0006</v>
      </c>
      <c r="BA75" s="235">
        <f>IF(AF75="  ",0+MID(AF$6,FIND("V",AF$6)+1,256)/10000,AF75+MID(AF$6,FIND("V",AF$6)+1,256)/10000)</f>
        <v>0.0007</v>
      </c>
      <c r="BB75" s="235">
        <f>IF(AG75="  ",0+MID(AG$6,FIND("V",AG$6)+1,256)/10000,AG75+MID(AG$6,FIND("V",AG$6)+1,256)/10000)</f>
        <v>0.0008</v>
      </c>
      <c r="BC75" s="235">
        <f>IF(AH75="  ",0+MID(AH$6,FIND("V",AH$6)+1,256)/10000,AH75+MID(AH$6,FIND("V",AH$6)+1,256)/10000)</f>
        <v>0.0009</v>
      </c>
      <c r="BD75" s="235">
        <f>IF(AI75="  ",0+MID(AI$6,FIND("V",AI$6)+1,256)/10000,AI75+MID(AI$6,FIND("V",AI$6)+1,256)/10000)</f>
        <v>0.001</v>
      </c>
      <c r="BE75" s="233"/>
      <c r="BF75" s="233"/>
      <c r="BG75" s="233"/>
      <c r="BH75" s="233"/>
      <c r="BI75" s="3" t="e">
        <f>(LARGE(Z$7:Z$126,1)-Z75)/2+1</f>
        <v>#VALUE!</v>
      </c>
      <c r="BJ75" s="3" t="e">
        <f>(LARGE(AA$7:AA$126,1)-AA75)/2+1</f>
        <v>#VALUE!</v>
      </c>
      <c r="BK75" s="3" t="e">
        <f>(LARGE(AB$7:AB$126,1)-AB75)/2+1</f>
        <v>#VALUE!</v>
      </c>
      <c r="BL75" s="3" t="e">
        <f>(LARGE(AC$7:AC$126,1)-AC75)/2+1</f>
        <v>#VALUE!</v>
      </c>
      <c r="BM75" s="3" t="e">
        <f>(LARGE(AD$7:AD$126,1)-AD75)/2+1</f>
        <v>#VALUE!</v>
      </c>
      <c r="BN75" s="3" t="e">
        <f>(LARGE(AE$7:AE$126,1)-AE75)/2+1</f>
        <v>#VALUE!</v>
      </c>
      <c r="BO75" s="3" t="e">
        <f>(LARGE(AF$7:AF$126,1)-AF75)/2+1</f>
        <v>#VALUE!</v>
      </c>
      <c r="BP75" s="3" t="e">
        <f>(LARGE(AG$7:AG$126,1)-AG75)/2+1</f>
        <v>#VALUE!</v>
      </c>
      <c r="BQ75" s="3" t="e">
        <f>(LARGE(AH$7:AH$126,1)-AH75)/2+1</f>
        <v>#NUM!</v>
      </c>
      <c r="BR75" s="3" t="e">
        <f>(LARGE(AI$7:AI$126,1)-AI75)/2+1</f>
        <v>#NUM!</v>
      </c>
    </row>
    <row r="76" ht="12.75" hidden="1" customHeight="1" spans="1:70">
      <c r="A76" s="139" t="str">
        <f>IF(R76&gt;0,IF(Q76="Viru SK",RANK(B76,B$7:B$126,1)-COUNTIF((Q$7:Q$126),"&lt;&gt;Viru SK"),""),"")</f>
        <v/>
      </c>
      <c r="B76" s="140">
        <f>IF((Q76="Viru SK"),U76,U76-1000)</f>
        <v>-880</v>
      </c>
      <c r="C76" s="141" t="str">
        <f>IF(R76&gt;0,IF(P76="t",RANK(D76,D$7:D$126,1)-COUNTBLANK(P$7:P$126),""),"")</f>
        <v/>
      </c>
      <c r="D76" s="142">
        <f>IF((P76="t"),U76,U76-1000)</f>
        <v>-880</v>
      </c>
      <c r="E76" s="143" t="str">
        <f>IF(R76&gt;0,IF(N76="m",RANK(F76,F$7:F$126,1)-COUNTBLANK(N$7:N$126),""),"")</f>
        <v/>
      </c>
      <c r="F76" s="144">
        <f>IF((N76="m"),U76,U76-1000)</f>
        <v>-880</v>
      </c>
      <c r="G76" s="145" t="str">
        <f>IF(R76&gt;0,IF(M76="n",RANK(H76,H$7:H$126,1)-COUNTBLANK(M$7:M$126),""),"")</f>
        <v/>
      </c>
      <c r="H76" s="144">
        <f>IF((M76="n"),U76,U76-1000)</f>
        <v>-880</v>
      </c>
      <c r="I76" s="160" t="str">
        <f>IF(R76&gt;0,IF(O76="j",RANK(J76,J$7:J$126,1)-COUNTBLANK(O$7:O$126),""),"")</f>
        <v/>
      </c>
      <c r="J76" s="161">
        <f>IF((O76="j"),U76,U76-1000)</f>
        <v>-880</v>
      </c>
      <c r="K76" s="162" t="str">
        <f>IF(R76&gt;0,RANK(U76,U$7:U$126,1),"")</f>
        <v/>
      </c>
      <c r="L76" s="163" t="s">
        <v>266</v>
      </c>
      <c r="M76" s="164"/>
      <c r="N76" s="165"/>
      <c r="O76" s="166"/>
      <c r="P76" s="167"/>
      <c r="Q76" s="192"/>
      <c r="R76" s="154">
        <f>(IF(COUNT(Z76,AA76,AB76,AC76,AD76,AE76,AF76,AG76,AH76,AI76)&lt;10,SUM(Z76,AA76,AB76,AC76,AD76,AE76,AF76,AG76,AH76,AI76),SUM(LARGE((Z76,AA76,AB76,AC76,AD76,AE76,AF76,AG76,AH76,AI76),{1;2;3;4;5;6;7;8;9}))))</f>
        <v>0</v>
      </c>
      <c r="S76" s="193" t="str">
        <f>INDEX(ETAPP!B$1:B$32,MATCH(COUNTIF(BI76:BR76,1),ETAPP!A$1:A$32,0))&amp;INDEX(ETAPP!B$1:B$32,MATCH(COUNTIF(BI76:BR76,2),ETAPP!A$1:A$32,0))&amp;INDEX(ETAPP!B$1:B$32,MATCH(COUNTIF(BI76:BR76,3),ETAPP!A$1:A$32,0))&amp;INDEX(ETAPP!B$1:B$32,MATCH(COUNTIF(BI76:BR76,4),ETAPP!A$1:A$32,0))&amp;INDEX(ETAPP!B$1:B$32,MATCH(COUNTIF(BI76:BR76,5),ETAPP!A$1:A$32,0))&amp;INDEX(ETAPP!B$1:B$32,MATCH(COUNTIF(BI76:BR76,6),ETAPP!A$1:A$32,0))&amp;INDEX(ETAPP!B$1:B$32,MATCH(COUNTIF(BI76:BR76,7),ETAPP!A$1:A$32,0))&amp;INDEX(ETAPP!B$1:B$32,MATCH(COUNTIF(BI76:BR76,8),ETAPP!A$1:A$32,0))&amp;INDEX(ETAPP!B$1:B$32,MATCH(COUNTIF(BI76:BR76,9),ETAPP!A$1:A$32,0))&amp;INDEX(ETAPP!B$1:B$32,MATCH(COUNTIF(BI76:BR76,10),ETAPP!A$1:A$32,0))&amp;INDEX(ETAPP!B$1:B$32,MATCH(COUNTIF(BI76:BR76,11),ETAPP!A$1:A$32,0))&amp;INDEX(ETAPP!B$1:B$32,MATCH(COUNTIF(BI76:BR76,12),ETAPP!A$1:A$32,0))&amp;INDEX(ETAPP!B$1:B$32,MATCH(COUNTIF(BI76:BR76,13),ETAPP!A$1:A$32,0))&amp;INDEX(ETAPP!B$1:B$32,MATCH(COUNTIF(BI76:BR76,14),ETAPP!A$1:A$32,0))&amp;INDEX(ETAPP!B$1:B$32,MATCH(COUNTIF(BI76:BR76,15),ETAPP!A$1:A$32,0))&amp;INDEX(ETAPP!B$1:B$32,MATCH(COUNTIF(BI76:BR76,16),ETAPP!A$1:A$32,0))&amp;INDEX(ETAPP!B$1:B$32,MATCH(COUNTIF(BI76:BR76,17),ETAPP!A$1:A$32,0))&amp;INDEX(ETAPP!B$1:B$32,MATCH(COUNTIF(BI76:BR76,18),ETAPP!A$1:A$32,0))&amp;INDEX(ETAPP!B$1:B$32,MATCH(COUNTIF(BI76:BR76,19),ETAPP!A$1:A$32,0))&amp;INDEX(ETAPP!B$1:B$32,MATCH(COUNTIF(BI76:BR76,20),ETAPP!A$1:A$32,0))&amp;INDEX(ETAPP!B$1:B$32,MATCH(COUNTIF(BI76:BR76,21),ETAPP!A$1:A$32,0))</f>
        <v>000000000000000000000</v>
      </c>
      <c r="T76" s="193" t="str">
        <f>TEXT(R76,"000,0")&amp;"-"&amp;S76</f>
        <v>000,0-000000000000000000000</v>
      </c>
      <c r="U76" s="193">
        <f>COUNTIF(T$7:T$126,"&gt;="&amp;T76)</f>
        <v>120</v>
      </c>
      <c r="V76" s="193">
        <f>COUNTIF(L$7:L$126,"&gt;="&amp;L76)</f>
        <v>98</v>
      </c>
      <c r="W76" s="193" t="str">
        <f>TEXT(R76,"000,0")&amp;"-"&amp;S76&amp;"-"&amp;TEXT(V76,"000")</f>
        <v>000,0-000000000000000000000-098</v>
      </c>
      <c r="X76" s="193">
        <f>COUNTIF(W$7:W$126,"&gt;="&amp;W76)</f>
        <v>70</v>
      </c>
      <c r="Y76" s="201">
        <f>RANK(X76,X$7:X$126,0)</f>
        <v>51</v>
      </c>
      <c r="Z76" s="202" t="str">
        <f>IFERROR(INDEX('V1'!C$300:C$400,MATCH("*"&amp;L76&amp;"*",'V1'!B$300:B$400,0)),"  ")</f>
        <v>  </v>
      </c>
      <c r="AA76" s="202" t="str">
        <f>IFERROR(INDEX('V2'!C$300:C$400,MATCH("*"&amp;L76&amp;"*",'V2'!B$300:B$400,0)),"  ")</f>
        <v>  </v>
      </c>
      <c r="AB76" s="202" t="str">
        <f>IFERROR(INDEX('V3'!C$300:C$400,MATCH("*"&amp;L76&amp;"*",'V3'!B$300:B$400,0)),"  ")</f>
        <v>  </v>
      </c>
      <c r="AC76" s="202" t="str">
        <f>IFERROR(INDEX('V4'!C$300:C$400,MATCH("*"&amp;L76&amp;"*",'V4'!B$300:B$400,0)),"  ")</f>
        <v>  </v>
      </c>
      <c r="AD76" s="202" t="str">
        <f>IFERROR(INDEX('V5'!C$300:C$400,MATCH("*"&amp;L76&amp;"*",'V5'!B$300:B$400,0)),"  ")</f>
        <v>  </v>
      </c>
      <c r="AE76" s="202" t="str">
        <f>IFERROR(INDEX('V6'!C$300:C$400,MATCH("*"&amp;L76&amp;"*",'V6'!B$300:B$400,0)),"  ")</f>
        <v>  </v>
      </c>
      <c r="AF76" s="202" t="str">
        <f>IFERROR(INDEX('V7'!C$300:C$400,MATCH("*"&amp;L76&amp;"*",'V7'!B$300:B$400,0)),"  ")</f>
        <v>  </v>
      </c>
      <c r="AG76" s="202" t="str">
        <f>IFERROR(INDEX('V8'!C$300:C$400,MATCH("*"&amp;L76&amp;"*",'V8'!B$300:B$400,0)),"  ")</f>
        <v>  </v>
      </c>
      <c r="AH76" s="202"/>
      <c r="AI76" s="202"/>
      <c r="AJ76" s="222" t="str">
        <f>IF(AN76&gt;(AT$2-1),K76,"")</f>
        <v/>
      </c>
      <c r="AK76" s="223">
        <f>SUM(Z76:AI76)</f>
        <v>0</v>
      </c>
      <c r="AL76" s="224" t="str">
        <f>IFERROR("edasi "&amp;RANK(AJ76,AJ$7:AJ$126,1),K76)</f>
        <v/>
      </c>
      <c r="AM76" s="225" t="str">
        <f>IFERROR(INDEX(#REF!,MATCH("*"&amp;L76&amp;"*",#REF!,0)),"  ")</f>
        <v>  </v>
      </c>
      <c r="AN76" s="226">
        <f>COUNTIF(Z76:AI76,"&gt;=0")</f>
        <v>0</v>
      </c>
      <c r="AO76" s="126">
        <f>IFERROR(IF(Z76+1&gt;LARGE(Z$7:Z$126,1)-2*LEN(Z$5),1),0)+IFERROR(IF(AA76+1&gt;LARGE(AA$7:AA$126,1)-2*LEN(AA$5),1),0)+IFERROR(IF(AB76+1&gt;LARGE(AB$7:AB$126,1)-2*LEN(AB$5),1),0)+IFERROR(IF(AC76+1&gt;LARGE(AC$7:AC$126,1)-2*LEN(AC$5),1),0)+IFERROR(IF(AD76+1&gt;LARGE(AD$7:AD$126,1)-2*LEN(AD$5),1),0)+IFERROR(IF(AE76+1&gt;LARGE(AE$7:AE$126,1)-2*LEN(AE$5),1),0)+IFERROR(IF(AF76+1&gt;LARGE(AF$7:AF$126,1)-2*LEN(AF$5),1),0)+IFERROR(IF(AG76+1&gt;LARGE(AG$7:AG$126,1)-2*LEN(AG$5),1),0)+IFERROR(IF(AH76+1&gt;LARGE(AH$7:AH$126,1)-2*LEN(AH$5),1),0)+IFERROR(IF(AI76+1&gt;LARGE(AI$7:AI$126,1)-2*LEN(AI$5),1),0)</f>
        <v>0</v>
      </c>
      <c r="AP76" s="126">
        <f>IF(Z76=0,0,IF(Z76=IFERROR(LARGE(Z$7:Z$126,1),0),1,0))+IF(AA76=0,0,IF(AA76=IFERROR(LARGE(AA$7:AA$126,1),0),1,0))+IF(AB76=0,0,IF(AB76=IFERROR(LARGE(AB$7:AB$126,1),0),1,0))+IF(AC76=0,0,IF(AC76=IFERROR(LARGE(AC$7:AC$126,1),0),1,0))+IF(AD76=0,0,IF(AD76=IFERROR(LARGE(AD$7:AD$126,1),0),1,0))+IF(AE76=0,0,IF(AE76=IFERROR(LARGE(AE$7:AE$126,1),0),1,0))+IF(AF76=0,0,IF(AF76=IFERROR(LARGE(AF$7:AF$126,1),0),1,0))+IF(AG76=0,0,IF(AG76=IFERROR(LARGE(AG$7:AG$126,1),0),1,0))+IF(AH76=0,0,IF(AH76=IFERROR(LARGE(AH$7:AH$126,1),0),1,0))+IF(AI76=0,0,IF(AI76=IFERROR(LARGE(AI$7:AI$126,1),0),1,0))</f>
        <v>0</v>
      </c>
      <c r="AQ76" s="233"/>
      <c r="AR76" s="233"/>
      <c r="AS76" s="233"/>
      <c r="AT76" s="234">
        <f>SMALL(AU76:BD76,AT$3)</f>
        <v>0.0001</v>
      </c>
      <c r="AU76" s="235">
        <f>IF(Z76="  ",0+MID(Z$6,FIND("V",Z$6)+1,256)/10000,Z76+MID(Z$6,FIND("V",Z$6)+1,256)/10000)</f>
        <v>0.0001</v>
      </c>
      <c r="AV76" s="235">
        <f>IF(AA76="  ",0+MID(AA$6,FIND("V",AA$6)+1,256)/10000,AA76+MID(AA$6,FIND("V",AA$6)+1,256)/10000)</f>
        <v>0.0002</v>
      </c>
      <c r="AW76" s="235">
        <f>IF(AB76="  ",0+MID(AB$6,FIND("V",AB$6)+1,256)/10000,AB76+MID(AB$6,FIND("V",AB$6)+1,256)/10000)</f>
        <v>0.0003</v>
      </c>
      <c r="AX76" s="235">
        <f>IF(AC76="  ",0+MID(AC$6,FIND("V",AC$6)+1,256)/10000,AC76+MID(AC$6,FIND("V",AC$6)+1,256)/10000)</f>
        <v>0.0004</v>
      </c>
      <c r="AY76" s="235">
        <f>IF(AD76="  ",0+MID(AD$6,FIND("V",AD$6)+1,256)/10000,AD76+MID(AD$6,FIND("V",AD$6)+1,256)/10000)</f>
        <v>0.0005</v>
      </c>
      <c r="AZ76" s="235">
        <f>IF(AE76="  ",0+MID(AE$6,FIND("V",AE$6)+1,256)/10000,AE76+MID(AE$6,FIND("V",AE$6)+1,256)/10000)</f>
        <v>0.0006</v>
      </c>
      <c r="BA76" s="235">
        <f>IF(AF76="  ",0+MID(AF$6,FIND("V",AF$6)+1,256)/10000,AF76+MID(AF$6,FIND("V",AF$6)+1,256)/10000)</f>
        <v>0.0007</v>
      </c>
      <c r="BB76" s="235">
        <f>IF(AG76="  ",0+MID(AG$6,FIND("V",AG$6)+1,256)/10000,AG76+MID(AG$6,FIND("V",AG$6)+1,256)/10000)</f>
        <v>0.0008</v>
      </c>
      <c r="BC76" s="235">
        <f>IF(AH76="  ",0+MID(AH$6,FIND("V",AH$6)+1,256)/10000,AH76+MID(AH$6,FIND("V",AH$6)+1,256)/10000)</f>
        <v>0.0009</v>
      </c>
      <c r="BD76" s="235">
        <f>IF(AI76="  ",0+MID(AI$6,FIND("V",AI$6)+1,256)/10000,AI76+MID(AI$6,FIND("V",AI$6)+1,256)/10000)</f>
        <v>0.001</v>
      </c>
      <c r="BE76" s="233"/>
      <c r="BF76" s="233"/>
      <c r="BG76" s="233"/>
      <c r="BH76" s="233"/>
      <c r="BI76" s="3" t="e">
        <f>(LARGE(Z$7:Z$126,1)-Z76)/2+1</f>
        <v>#VALUE!</v>
      </c>
      <c r="BJ76" s="3" t="e">
        <f>(LARGE(AA$7:AA$126,1)-AA76)/2+1</f>
        <v>#VALUE!</v>
      </c>
      <c r="BK76" s="3" t="e">
        <f>(LARGE(AB$7:AB$126,1)-AB76)/2+1</f>
        <v>#VALUE!</v>
      </c>
      <c r="BL76" s="3" t="e">
        <f>(LARGE(AC$7:AC$126,1)-AC76)/2+1</f>
        <v>#VALUE!</v>
      </c>
      <c r="BM76" s="3" t="e">
        <f>(LARGE(AD$7:AD$126,1)-AD76)/2+1</f>
        <v>#VALUE!</v>
      </c>
      <c r="BN76" s="3" t="e">
        <f>(LARGE(AE$7:AE$126,1)-AE76)/2+1</f>
        <v>#VALUE!</v>
      </c>
      <c r="BO76" s="3" t="e">
        <f>(LARGE(AF$7:AF$126,1)-AF76)/2+1</f>
        <v>#VALUE!</v>
      </c>
      <c r="BP76" s="3" t="e">
        <f>(LARGE(AG$7:AG$126,1)-AG76)/2+1</f>
        <v>#VALUE!</v>
      </c>
      <c r="BQ76" s="3" t="e">
        <f>(LARGE(AH$7:AH$126,1)-AH76)/2+1</f>
        <v>#NUM!</v>
      </c>
      <c r="BR76" s="3" t="e">
        <f>(LARGE(AI$7:AI$126,1)-AI76)/2+1</f>
        <v>#NUM!</v>
      </c>
    </row>
    <row r="77" ht="12.75" hidden="1" customHeight="1" spans="1:70">
      <c r="A77" s="139" t="str">
        <f>IF(R77&gt;0,IF(Q77="Viru SK",RANK(B77,B$7:B$126,1)-COUNTIF((Q$7:Q$126),"&lt;&gt;Viru SK"),""),"")</f>
        <v/>
      </c>
      <c r="B77" s="140">
        <f>IF((Q77="Viru SK"),U77,U77-1000)</f>
        <v>-880</v>
      </c>
      <c r="C77" s="141" t="str">
        <f>IF(R77&gt;0,IF(P77="t",RANK(D77,D$7:D$126,1)-COUNTBLANK(P$7:P$126),""),"")</f>
        <v/>
      </c>
      <c r="D77" s="142">
        <f>IF((P77="t"),U77,U77-1000)</f>
        <v>120</v>
      </c>
      <c r="E77" s="143" t="str">
        <f>IF(R77&gt;0,IF(N77="m",RANK(F77,F$7:F$126,1)-COUNTBLANK(N$7:N$126),""),"")</f>
        <v/>
      </c>
      <c r="F77" s="144">
        <f>IF((N77="m"),U77,U77-1000)</f>
        <v>120</v>
      </c>
      <c r="G77" s="145" t="str">
        <f>IF(R77&gt;0,IF(M77="n",RANK(H77,H$7:H$126,1)-COUNTBLANK(M$7:M$126),""),"")</f>
        <v/>
      </c>
      <c r="H77" s="144">
        <f>IF((M77="n"),U77,U77-1000)</f>
        <v>-880</v>
      </c>
      <c r="I77" s="160" t="str">
        <f>IF(R77&gt;0,IF(O77="j",RANK(J77,J$7:J$126,1)-COUNTBLANK(O$7:O$126),""),"")</f>
        <v/>
      </c>
      <c r="J77" s="161">
        <f>IF((O77="j"),U77,U77-1000)</f>
        <v>-880</v>
      </c>
      <c r="K77" s="162" t="str">
        <f>IF(R77&gt;0,RANK(U77,U$7:U$126,1),"")</f>
        <v/>
      </c>
      <c r="L77" s="168" t="s">
        <v>267</v>
      </c>
      <c r="M77" s="164"/>
      <c r="N77" s="165" t="str">
        <f>IF(M77="","m","")</f>
        <v>m</v>
      </c>
      <c r="O77" s="166"/>
      <c r="P77" s="167" t="s">
        <v>196</v>
      </c>
      <c r="Q77" s="192"/>
      <c r="R77" s="154">
        <f>(IF(COUNT(Z77,AA77,AB77,AC77,AD77,AE77,AF77,AG77,AH77,AI77)&lt;10,SUM(Z77,AA77,AB77,AC77,AD77,AE77,AF77,AG77,AH77,AI77),SUM(LARGE((Z77,AA77,AB77,AC77,AD77,AE77,AF77,AG77,AH77,AI77),{1;2;3;4;5;6;7;8;9}))))</f>
        <v>0</v>
      </c>
      <c r="S77" s="193" t="str">
        <f>INDEX(ETAPP!B$1:B$32,MATCH(COUNTIF(BI77:BR77,1),ETAPP!A$1:A$32,0))&amp;INDEX(ETAPP!B$1:B$32,MATCH(COUNTIF(BI77:BR77,2),ETAPP!A$1:A$32,0))&amp;INDEX(ETAPP!B$1:B$32,MATCH(COUNTIF(BI77:BR77,3),ETAPP!A$1:A$32,0))&amp;INDEX(ETAPP!B$1:B$32,MATCH(COUNTIF(BI77:BR77,4),ETAPP!A$1:A$32,0))&amp;INDEX(ETAPP!B$1:B$32,MATCH(COUNTIF(BI77:BR77,5),ETAPP!A$1:A$32,0))&amp;INDEX(ETAPP!B$1:B$32,MATCH(COUNTIF(BI77:BR77,6),ETAPP!A$1:A$32,0))&amp;INDEX(ETAPP!B$1:B$32,MATCH(COUNTIF(BI77:BR77,7),ETAPP!A$1:A$32,0))&amp;INDEX(ETAPP!B$1:B$32,MATCH(COUNTIF(BI77:BR77,8),ETAPP!A$1:A$32,0))&amp;INDEX(ETAPP!B$1:B$32,MATCH(COUNTIF(BI77:BR77,9),ETAPP!A$1:A$32,0))&amp;INDEX(ETAPP!B$1:B$32,MATCH(COUNTIF(BI77:BR77,10),ETAPP!A$1:A$32,0))&amp;INDEX(ETAPP!B$1:B$32,MATCH(COUNTIF(BI77:BR77,11),ETAPP!A$1:A$32,0))&amp;INDEX(ETAPP!B$1:B$32,MATCH(COUNTIF(BI77:BR77,12),ETAPP!A$1:A$32,0))&amp;INDEX(ETAPP!B$1:B$32,MATCH(COUNTIF(BI77:BR77,13),ETAPP!A$1:A$32,0))&amp;INDEX(ETAPP!B$1:B$32,MATCH(COUNTIF(BI77:BR77,14),ETAPP!A$1:A$32,0))&amp;INDEX(ETAPP!B$1:B$32,MATCH(COUNTIF(BI77:BR77,15),ETAPP!A$1:A$32,0))&amp;INDEX(ETAPP!B$1:B$32,MATCH(COUNTIF(BI77:BR77,16),ETAPP!A$1:A$32,0))&amp;INDEX(ETAPP!B$1:B$32,MATCH(COUNTIF(BI77:BR77,17),ETAPP!A$1:A$32,0))&amp;INDEX(ETAPP!B$1:B$32,MATCH(COUNTIF(BI77:BR77,18),ETAPP!A$1:A$32,0))&amp;INDEX(ETAPP!B$1:B$32,MATCH(COUNTIF(BI77:BR77,19),ETAPP!A$1:A$32,0))&amp;INDEX(ETAPP!B$1:B$32,MATCH(COUNTIF(BI77:BR77,20),ETAPP!A$1:A$32,0))&amp;INDEX(ETAPP!B$1:B$32,MATCH(COUNTIF(BI77:BR77,21),ETAPP!A$1:A$32,0))</f>
        <v>000000000000000000000</v>
      </c>
      <c r="T77" s="193" t="str">
        <f>TEXT(R77,"000,0")&amp;"-"&amp;S77</f>
        <v>000,0-000000000000000000000</v>
      </c>
      <c r="U77" s="193">
        <f>COUNTIF(T$7:T$126,"&gt;="&amp;T77)</f>
        <v>120</v>
      </c>
      <c r="V77" s="193">
        <f>COUNTIF(L$7:L$126,"&gt;="&amp;L77)</f>
        <v>97</v>
      </c>
      <c r="W77" s="193" t="str">
        <f>TEXT(R77,"000,0")&amp;"-"&amp;S77&amp;"-"&amp;TEXT(V77,"000")</f>
        <v>000,0-000000000000000000000-097</v>
      </c>
      <c r="X77" s="193">
        <f>COUNTIF(W$7:W$126,"&gt;="&amp;W77)</f>
        <v>71</v>
      </c>
      <c r="Y77" s="201">
        <f>RANK(X77,X$7:X$126,0)</f>
        <v>50</v>
      </c>
      <c r="Z77" s="202" t="str">
        <f>IFERROR(INDEX('V1'!C$300:C$400,MATCH("*"&amp;L77&amp;"*",'V1'!B$300:B$400,0)),"  ")</f>
        <v>  </v>
      </c>
      <c r="AA77" s="202" t="str">
        <f>IFERROR(INDEX('V2'!C$300:C$400,MATCH("*"&amp;L77&amp;"*",'V2'!B$300:B$400,0)),"  ")</f>
        <v>  </v>
      </c>
      <c r="AB77" s="202" t="str">
        <f>IFERROR(INDEX('V3'!C$300:C$400,MATCH("*"&amp;L77&amp;"*",'V3'!B$300:B$400,0)),"  ")</f>
        <v>  </v>
      </c>
      <c r="AC77" s="202" t="str">
        <f>IFERROR(INDEX('V4'!C$300:C$400,MATCH("*"&amp;L77&amp;"*",'V4'!B$300:B$400,0)),"  ")</f>
        <v>  </v>
      </c>
      <c r="AD77" s="202" t="str">
        <f>IFERROR(INDEX('V5'!C$300:C$400,MATCH("*"&amp;L77&amp;"*",'V5'!B$300:B$400,0)),"  ")</f>
        <v>  </v>
      </c>
      <c r="AE77" s="202" t="str">
        <f>IFERROR(INDEX('V6'!C$300:C$400,MATCH("*"&amp;L77&amp;"*",'V6'!B$300:B$400,0)),"  ")</f>
        <v>  </v>
      </c>
      <c r="AF77" s="202" t="str">
        <f>IFERROR(INDEX('V7'!C$300:C$400,MATCH("*"&amp;L77&amp;"*",'V7'!B$300:B$400,0)),"  ")</f>
        <v>  </v>
      </c>
      <c r="AG77" s="202" t="str">
        <f>IFERROR(INDEX('V8'!C$300:C$400,MATCH("*"&amp;L77&amp;"*",'V8'!B$300:B$400,0)),"  ")</f>
        <v>  </v>
      </c>
      <c r="AH77" s="202"/>
      <c r="AI77" s="202"/>
      <c r="AJ77" s="222" t="str">
        <f>IF(AN77&gt;(AT$2-1),K77,"")</f>
        <v/>
      </c>
      <c r="AK77" s="223">
        <f>SUM(Z77:AI77)</f>
        <v>0</v>
      </c>
      <c r="AL77" s="224" t="str">
        <f>IFERROR("edasi "&amp;RANK(AJ77,AJ$7:AJ$126,1),K77)</f>
        <v/>
      </c>
      <c r="AM77" s="225" t="str">
        <f>IFERROR(INDEX(#REF!,MATCH("*"&amp;L77&amp;"*",#REF!,0)),"  ")</f>
        <v>  </v>
      </c>
      <c r="AN77" s="226">
        <f>COUNTIF(Z77:AI77,"&gt;=0")</f>
        <v>0</v>
      </c>
      <c r="AO77" s="126">
        <f>IFERROR(IF(Z77+1&gt;LARGE(Z$7:Z$126,1)-2*LEN(Z$5),1),0)+IFERROR(IF(AA77+1&gt;LARGE(AA$7:AA$126,1)-2*LEN(AA$5),1),0)+IFERROR(IF(AB77+1&gt;LARGE(AB$7:AB$126,1)-2*LEN(AB$5),1),0)+IFERROR(IF(AC77+1&gt;LARGE(AC$7:AC$126,1)-2*LEN(AC$5),1),0)+IFERROR(IF(AD77+1&gt;LARGE(AD$7:AD$126,1)-2*LEN(AD$5),1),0)+IFERROR(IF(AE77+1&gt;LARGE(AE$7:AE$126,1)-2*LEN(AE$5),1),0)+IFERROR(IF(AF77+1&gt;LARGE(AF$7:AF$126,1)-2*LEN(AF$5),1),0)+IFERROR(IF(AG77+1&gt;LARGE(AG$7:AG$126,1)-2*LEN(AG$5),1),0)+IFERROR(IF(AH77+1&gt;LARGE(AH$7:AH$126,1)-2*LEN(AH$5),1),0)+IFERROR(IF(AI77+1&gt;LARGE(AI$7:AI$126,1)-2*LEN(AI$5),1),0)</f>
        <v>0</v>
      </c>
      <c r="AP77" s="126">
        <f>IF(Z77=0,0,IF(Z77=IFERROR(LARGE(Z$7:Z$126,1),0),1,0))+IF(AA77=0,0,IF(AA77=IFERROR(LARGE(AA$7:AA$126,1),0),1,0))+IF(AB77=0,0,IF(AB77=IFERROR(LARGE(AB$7:AB$126,1),0),1,0))+IF(AC77=0,0,IF(AC77=IFERROR(LARGE(AC$7:AC$126,1),0),1,0))+IF(AD77=0,0,IF(AD77=IFERROR(LARGE(AD$7:AD$126,1),0),1,0))+IF(AE77=0,0,IF(AE77=IFERROR(LARGE(AE$7:AE$126,1),0),1,0))+IF(AF77=0,0,IF(AF77=IFERROR(LARGE(AF$7:AF$126,1),0),1,0))+IF(AG77=0,0,IF(AG77=IFERROR(LARGE(AG$7:AG$126,1),0),1,0))+IF(AH77=0,0,IF(AH77=IFERROR(LARGE(AH$7:AH$126,1),0),1,0))+IF(AI77=0,0,IF(AI77=IFERROR(LARGE(AI$7:AI$126,1),0),1,0))</f>
        <v>0</v>
      </c>
      <c r="AQ77" s="233"/>
      <c r="AR77" s="233"/>
      <c r="AS77" s="233"/>
      <c r="AT77" s="234">
        <f>SMALL(AU77:BD77,AT$3)</f>
        <v>0.0001</v>
      </c>
      <c r="AU77" s="235">
        <f>IF(Z77="  ",0+MID(Z$6,FIND("V",Z$6)+1,256)/10000,Z77+MID(Z$6,FIND("V",Z$6)+1,256)/10000)</f>
        <v>0.0001</v>
      </c>
      <c r="AV77" s="235">
        <f>IF(AA77="  ",0+MID(AA$6,FIND("V",AA$6)+1,256)/10000,AA77+MID(AA$6,FIND("V",AA$6)+1,256)/10000)</f>
        <v>0.0002</v>
      </c>
      <c r="AW77" s="235">
        <f>IF(AB77="  ",0+MID(AB$6,FIND("V",AB$6)+1,256)/10000,AB77+MID(AB$6,FIND("V",AB$6)+1,256)/10000)</f>
        <v>0.0003</v>
      </c>
      <c r="AX77" s="235">
        <f>IF(AC77="  ",0+MID(AC$6,FIND("V",AC$6)+1,256)/10000,AC77+MID(AC$6,FIND("V",AC$6)+1,256)/10000)</f>
        <v>0.0004</v>
      </c>
      <c r="AY77" s="235">
        <f>IF(AD77="  ",0+MID(AD$6,FIND("V",AD$6)+1,256)/10000,AD77+MID(AD$6,FIND("V",AD$6)+1,256)/10000)</f>
        <v>0.0005</v>
      </c>
      <c r="AZ77" s="235">
        <f>IF(AE77="  ",0+MID(AE$6,FIND("V",AE$6)+1,256)/10000,AE77+MID(AE$6,FIND("V",AE$6)+1,256)/10000)</f>
        <v>0.0006</v>
      </c>
      <c r="BA77" s="235">
        <f>IF(AF77="  ",0+MID(AF$6,FIND("V",AF$6)+1,256)/10000,AF77+MID(AF$6,FIND("V",AF$6)+1,256)/10000)</f>
        <v>0.0007</v>
      </c>
      <c r="BB77" s="235">
        <f>IF(AG77="  ",0+MID(AG$6,FIND("V",AG$6)+1,256)/10000,AG77+MID(AG$6,FIND("V",AG$6)+1,256)/10000)</f>
        <v>0.0008</v>
      </c>
      <c r="BC77" s="235">
        <f>IF(AH77="  ",0+MID(AH$6,FIND("V",AH$6)+1,256)/10000,AH77+MID(AH$6,FIND("V",AH$6)+1,256)/10000)</f>
        <v>0.0009</v>
      </c>
      <c r="BD77" s="235">
        <f>IF(AI77="  ",0+MID(AI$6,FIND("V",AI$6)+1,256)/10000,AI77+MID(AI$6,FIND("V",AI$6)+1,256)/10000)</f>
        <v>0.001</v>
      </c>
      <c r="BE77" s="233"/>
      <c r="BF77" s="233"/>
      <c r="BG77" s="233"/>
      <c r="BH77" s="233"/>
      <c r="BI77" s="3" t="e">
        <f>(LARGE(Z$7:Z$126,1)-Z77)/2+1</f>
        <v>#VALUE!</v>
      </c>
      <c r="BJ77" s="3" t="e">
        <f>(LARGE(AA$7:AA$126,1)-AA77)/2+1</f>
        <v>#VALUE!</v>
      </c>
      <c r="BK77" s="3" t="e">
        <f>(LARGE(AB$7:AB$126,1)-AB77)/2+1</f>
        <v>#VALUE!</v>
      </c>
      <c r="BL77" s="3" t="e">
        <f>(LARGE(AC$7:AC$126,1)-AC77)/2+1</f>
        <v>#VALUE!</v>
      </c>
      <c r="BM77" s="3" t="e">
        <f>(LARGE(AD$7:AD$126,1)-AD77)/2+1</f>
        <v>#VALUE!</v>
      </c>
      <c r="BN77" s="3" t="e">
        <f>(LARGE(AE$7:AE$126,1)-AE77)/2+1</f>
        <v>#VALUE!</v>
      </c>
      <c r="BO77" s="3" t="e">
        <f>(LARGE(AF$7:AF$126,1)-AF77)/2+1</f>
        <v>#VALUE!</v>
      </c>
      <c r="BP77" s="3" t="e">
        <f>(LARGE(AG$7:AG$126,1)-AG77)/2+1</f>
        <v>#VALUE!</v>
      </c>
      <c r="BQ77" s="3" t="e">
        <f>(LARGE(AH$7:AH$126,1)-AH77)/2+1</f>
        <v>#NUM!</v>
      </c>
      <c r="BR77" s="3" t="e">
        <f>(LARGE(AI$7:AI$126,1)-AI77)/2+1</f>
        <v>#NUM!</v>
      </c>
    </row>
    <row r="78" ht="12.75" hidden="1" customHeight="1" spans="1:70">
      <c r="A78" s="139" t="str">
        <f>IF(R78&gt;0,IF(Q78="Viru SK",RANK(B78,B$7:B$126,1)-COUNTIF((Q$7:Q$126),"&lt;&gt;Viru SK"),""),"")</f>
        <v/>
      </c>
      <c r="B78" s="140">
        <f>IF((Q78="Viru SK"),U78,U78-1000)</f>
        <v>-880</v>
      </c>
      <c r="C78" s="141" t="str">
        <f>IF(R78&gt;0,IF(P78="t",RANK(D78,D$7:D$126,1)-COUNTBLANK(P$7:P$126),""),"")</f>
        <v/>
      </c>
      <c r="D78" s="142">
        <f>IF((P78="t"),U78,U78-1000)</f>
        <v>-880</v>
      </c>
      <c r="E78" s="143" t="str">
        <f>IF(R78&gt;0,IF(N78="m",RANK(F78,F$7:F$126,1)-COUNTBLANK(N$7:N$126),""),"")</f>
        <v/>
      </c>
      <c r="F78" s="144">
        <f>IF((N78="m"),U78,U78-1000)</f>
        <v>120</v>
      </c>
      <c r="G78" s="145" t="str">
        <f>IF(R78&gt;0,IF(M78="n",RANK(H78,H$7:H$126,1)-COUNTBLANK(M$7:M$126),""),"")</f>
        <v/>
      </c>
      <c r="H78" s="144">
        <f>IF((M78="n"),U78,U78-1000)</f>
        <v>-880</v>
      </c>
      <c r="I78" s="160" t="str">
        <f>IF(R78&gt;0,IF(O78="j",RANK(J78,J$7:J$126,1)-COUNTBLANK(O$7:O$126),""),"")</f>
        <v/>
      </c>
      <c r="J78" s="161">
        <f>IF((O78="j"),U78,U78-1000)</f>
        <v>-880</v>
      </c>
      <c r="K78" s="162" t="str">
        <f>IF(R78&gt;0,RANK(U78,U$7:U$126,1),"")</f>
        <v/>
      </c>
      <c r="L78" s="168" t="s">
        <v>268</v>
      </c>
      <c r="M78" s="164"/>
      <c r="N78" s="165" t="s">
        <v>193</v>
      </c>
      <c r="O78" s="166"/>
      <c r="P78" s="167"/>
      <c r="Q78" s="192"/>
      <c r="R78" s="154">
        <f>(IF(COUNT(Z78,AA78,AB78,AC78,AD78,AE78,AF78,AG78,AH78,AI78)&lt;10,SUM(Z78,AA78,AB78,AC78,AD78,AE78,AF78,AG78,AH78,AI78),SUM(LARGE((Z78,AA78,AB78,AC78,AD78,AE78,AF78,AG78,AH78,AI78),{1;2;3;4;5;6;7;8;9}))))</f>
        <v>0</v>
      </c>
      <c r="S78" s="193" t="str">
        <f>INDEX(ETAPP!B$1:B$32,MATCH(COUNTIF(BI78:BR78,1),ETAPP!A$1:A$32,0))&amp;INDEX(ETAPP!B$1:B$32,MATCH(COUNTIF(BI78:BR78,2),ETAPP!A$1:A$32,0))&amp;INDEX(ETAPP!B$1:B$32,MATCH(COUNTIF(BI78:BR78,3),ETAPP!A$1:A$32,0))&amp;INDEX(ETAPP!B$1:B$32,MATCH(COUNTIF(BI78:BR78,4),ETAPP!A$1:A$32,0))&amp;INDEX(ETAPP!B$1:B$32,MATCH(COUNTIF(BI78:BR78,5),ETAPP!A$1:A$32,0))&amp;INDEX(ETAPP!B$1:B$32,MATCH(COUNTIF(BI78:BR78,6),ETAPP!A$1:A$32,0))&amp;INDEX(ETAPP!B$1:B$32,MATCH(COUNTIF(BI78:BR78,7),ETAPP!A$1:A$32,0))&amp;INDEX(ETAPP!B$1:B$32,MATCH(COUNTIF(BI78:BR78,8),ETAPP!A$1:A$32,0))&amp;INDEX(ETAPP!B$1:B$32,MATCH(COUNTIF(BI78:BR78,9),ETAPP!A$1:A$32,0))&amp;INDEX(ETAPP!B$1:B$32,MATCH(COUNTIF(BI78:BR78,10),ETAPP!A$1:A$32,0))&amp;INDEX(ETAPP!B$1:B$32,MATCH(COUNTIF(BI78:BR78,11),ETAPP!A$1:A$32,0))&amp;INDEX(ETAPP!B$1:B$32,MATCH(COUNTIF(BI78:BR78,12),ETAPP!A$1:A$32,0))&amp;INDEX(ETAPP!B$1:B$32,MATCH(COUNTIF(BI78:BR78,13),ETAPP!A$1:A$32,0))&amp;INDEX(ETAPP!B$1:B$32,MATCH(COUNTIF(BI78:BR78,14),ETAPP!A$1:A$32,0))&amp;INDEX(ETAPP!B$1:B$32,MATCH(COUNTIF(BI78:BR78,15),ETAPP!A$1:A$32,0))&amp;INDEX(ETAPP!B$1:B$32,MATCH(COUNTIF(BI78:BR78,16),ETAPP!A$1:A$32,0))&amp;INDEX(ETAPP!B$1:B$32,MATCH(COUNTIF(BI78:BR78,17),ETAPP!A$1:A$32,0))&amp;INDEX(ETAPP!B$1:B$32,MATCH(COUNTIF(BI78:BR78,18),ETAPP!A$1:A$32,0))&amp;INDEX(ETAPP!B$1:B$32,MATCH(COUNTIF(BI78:BR78,19),ETAPP!A$1:A$32,0))&amp;INDEX(ETAPP!B$1:B$32,MATCH(COUNTIF(BI78:BR78,20),ETAPP!A$1:A$32,0))&amp;INDEX(ETAPP!B$1:B$32,MATCH(COUNTIF(BI78:BR78,21),ETAPP!A$1:A$32,0))</f>
        <v>000000000000000000000</v>
      </c>
      <c r="T78" s="193" t="str">
        <f>TEXT(R78,"000,0")&amp;"-"&amp;S78</f>
        <v>000,0-000000000000000000000</v>
      </c>
      <c r="U78" s="193">
        <f>COUNTIF(T$7:T$126,"&gt;="&amp;T78)</f>
        <v>120</v>
      </c>
      <c r="V78" s="193">
        <f>COUNTIF(L$7:L$126,"&gt;="&amp;L78)</f>
        <v>95</v>
      </c>
      <c r="W78" s="193" t="str">
        <f>TEXT(R78,"000,0")&amp;"-"&amp;S78&amp;"-"&amp;TEXT(V78,"000")</f>
        <v>000,0-000000000000000000000-095</v>
      </c>
      <c r="X78" s="193">
        <f>COUNTIF(W$7:W$126,"&gt;="&amp;W78)</f>
        <v>72</v>
      </c>
      <c r="Y78" s="201">
        <f>RANK(X78,X$7:X$126,0)</f>
        <v>49</v>
      </c>
      <c r="Z78" s="202" t="str">
        <f>IFERROR(INDEX('V1'!C$300:C$400,MATCH("*"&amp;L78&amp;"*",'V1'!B$300:B$400,0)),"  ")</f>
        <v>  </v>
      </c>
      <c r="AA78" s="202" t="str">
        <f>IFERROR(INDEX('V2'!C$300:C$400,MATCH("*"&amp;L78&amp;"*",'V2'!B$300:B$400,0)),"  ")</f>
        <v>  </v>
      </c>
      <c r="AB78" s="202" t="str">
        <f>IFERROR(INDEX('V3'!C$300:C$400,MATCH("*"&amp;L78&amp;"*",'V3'!B$300:B$400,0)),"  ")</f>
        <v>  </v>
      </c>
      <c r="AC78" s="202" t="str">
        <f>IFERROR(INDEX('V4'!C$300:C$400,MATCH("*"&amp;L78&amp;"*",'V4'!B$300:B$400,0)),"  ")</f>
        <v>  </v>
      </c>
      <c r="AD78" s="202" t="str">
        <f>IFERROR(INDEX('V5'!C$300:C$400,MATCH("*"&amp;L78&amp;"*",'V5'!B$300:B$400,0)),"  ")</f>
        <v>  </v>
      </c>
      <c r="AE78" s="202" t="str">
        <f>IFERROR(INDEX('V6'!C$300:C$400,MATCH("*"&amp;L78&amp;"*",'V6'!B$300:B$400,0)),"  ")</f>
        <v>  </v>
      </c>
      <c r="AF78" s="202" t="str">
        <f>IFERROR(INDEX('V7'!C$300:C$400,MATCH("*"&amp;L78&amp;"*",'V7'!B$300:B$400,0)),"  ")</f>
        <v>  </v>
      </c>
      <c r="AG78" s="202" t="str">
        <f>IFERROR(INDEX('V8'!C$300:C$400,MATCH("*"&amp;L78&amp;"*",'V8'!B$300:B$400,0)),"  ")</f>
        <v>  </v>
      </c>
      <c r="AH78" s="202"/>
      <c r="AI78" s="202"/>
      <c r="AJ78" s="222" t="str">
        <f>IF(AN78&gt;(AT$2-1),K78,"")</f>
        <v/>
      </c>
      <c r="AK78" s="223">
        <f>SUM(Z78:AI78)</f>
        <v>0</v>
      </c>
      <c r="AL78" s="224" t="str">
        <f>IFERROR("edasi "&amp;RANK(AJ78,AJ$7:AJ$126,1),K78)</f>
        <v/>
      </c>
      <c r="AM78" s="225" t="str">
        <f>IFERROR(INDEX(#REF!,MATCH("*"&amp;L78&amp;"*",#REF!,0)),"  ")</f>
        <v>  </v>
      </c>
      <c r="AN78" s="226">
        <f>COUNTIF(Z78:AI78,"&gt;=0")</f>
        <v>0</v>
      </c>
      <c r="AO78" s="126">
        <f>IFERROR(IF(Z78+1&gt;LARGE(Z$7:Z$126,1)-2*LEN(Z$5),1),0)+IFERROR(IF(AA78+1&gt;LARGE(AA$7:AA$126,1)-2*LEN(AA$5),1),0)+IFERROR(IF(AB78+1&gt;LARGE(AB$7:AB$126,1)-2*LEN(AB$5),1),0)+IFERROR(IF(AC78+1&gt;LARGE(AC$7:AC$126,1)-2*LEN(AC$5),1),0)+IFERROR(IF(AD78+1&gt;LARGE(AD$7:AD$126,1)-2*LEN(AD$5),1),0)+IFERROR(IF(AE78+1&gt;LARGE(AE$7:AE$126,1)-2*LEN(AE$5),1),0)+IFERROR(IF(AF78+1&gt;LARGE(AF$7:AF$126,1)-2*LEN(AF$5),1),0)+IFERROR(IF(AG78+1&gt;LARGE(AG$7:AG$126,1)-2*LEN(AG$5),1),0)+IFERROR(IF(AH78+1&gt;LARGE(AH$7:AH$126,1)-2*LEN(AH$5),1),0)+IFERROR(IF(AI78+1&gt;LARGE(AI$7:AI$126,1)-2*LEN(AI$5),1),0)</f>
        <v>0</v>
      </c>
      <c r="AP78" s="126">
        <f>IF(Z78=0,0,IF(Z78=IFERROR(LARGE(Z$7:Z$126,1),0),1,0))+IF(AA78=0,0,IF(AA78=IFERROR(LARGE(AA$7:AA$126,1),0),1,0))+IF(AB78=0,0,IF(AB78=IFERROR(LARGE(AB$7:AB$126,1),0),1,0))+IF(AC78=0,0,IF(AC78=IFERROR(LARGE(AC$7:AC$126,1),0),1,0))+IF(AD78=0,0,IF(AD78=IFERROR(LARGE(AD$7:AD$126,1),0),1,0))+IF(AE78=0,0,IF(AE78=IFERROR(LARGE(AE$7:AE$126,1),0),1,0))+IF(AF78=0,0,IF(AF78=IFERROR(LARGE(AF$7:AF$126,1),0),1,0))+IF(AG78=0,0,IF(AG78=IFERROR(LARGE(AG$7:AG$126,1),0),1,0))+IF(AH78=0,0,IF(AH78=IFERROR(LARGE(AH$7:AH$126,1),0),1,0))+IF(AI78=0,0,IF(AI78=IFERROR(LARGE(AI$7:AI$126,1),0),1,0))</f>
        <v>0</v>
      </c>
      <c r="AQ78" s="233"/>
      <c r="AR78" s="233"/>
      <c r="AS78" s="233"/>
      <c r="AT78" s="234">
        <f>SMALL(AU78:BD78,AT$3)</f>
        <v>0.0001</v>
      </c>
      <c r="AU78" s="235">
        <f>IF(Z78="  ",0+MID(Z$6,FIND("V",Z$6)+1,256)/10000,Z78+MID(Z$6,FIND("V",Z$6)+1,256)/10000)</f>
        <v>0.0001</v>
      </c>
      <c r="AV78" s="235">
        <f>IF(AA78="  ",0+MID(AA$6,FIND("V",AA$6)+1,256)/10000,AA78+MID(AA$6,FIND("V",AA$6)+1,256)/10000)</f>
        <v>0.0002</v>
      </c>
      <c r="AW78" s="235">
        <f>IF(AB78="  ",0+MID(AB$6,FIND("V",AB$6)+1,256)/10000,AB78+MID(AB$6,FIND("V",AB$6)+1,256)/10000)</f>
        <v>0.0003</v>
      </c>
      <c r="AX78" s="235">
        <f>IF(AC78="  ",0+MID(AC$6,FIND("V",AC$6)+1,256)/10000,AC78+MID(AC$6,FIND("V",AC$6)+1,256)/10000)</f>
        <v>0.0004</v>
      </c>
      <c r="AY78" s="235">
        <f>IF(AD78="  ",0+MID(AD$6,FIND("V",AD$6)+1,256)/10000,AD78+MID(AD$6,FIND("V",AD$6)+1,256)/10000)</f>
        <v>0.0005</v>
      </c>
      <c r="AZ78" s="235">
        <f>IF(AE78="  ",0+MID(AE$6,FIND("V",AE$6)+1,256)/10000,AE78+MID(AE$6,FIND("V",AE$6)+1,256)/10000)</f>
        <v>0.0006</v>
      </c>
      <c r="BA78" s="235">
        <f>IF(AF78="  ",0+MID(AF$6,FIND("V",AF$6)+1,256)/10000,AF78+MID(AF$6,FIND("V",AF$6)+1,256)/10000)</f>
        <v>0.0007</v>
      </c>
      <c r="BB78" s="235">
        <f>IF(AG78="  ",0+MID(AG$6,FIND("V",AG$6)+1,256)/10000,AG78+MID(AG$6,FIND("V",AG$6)+1,256)/10000)</f>
        <v>0.0008</v>
      </c>
      <c r="BC78" s="235">
        <f>IF(AH78="  ",0+MID(AH$6,FIND("V",AH$6)+1,256)/10000,AH78+MID(AH$6,FIND("V",AH$6)+1,256)/10000)</f>
        <v>0.0009</v>
      </c>
      <c r="BD78" s="235">
        <f>IF(AI78="  ",0+MID(AI$6,FIND("V",AI$6)+1,256)/10000,AI78+MID(AI$6,FIND("V",AI$6)+1,256)/10000)</f>
        <v>0.001</v>
      </c>
      <c r="BE78" s="233"/>
      <c r="BF78" s="233"/>
      <c r="BG78" s="233"/>
      <c r="BH78" s="233"/>
      <c r="BI78" s="3" t="e">
        <f>(LARGE(Z$7:Z$126,1)-Z78)/2+1</f>
        <v>#VALUE!</v>
      </c>
      <c r="BJ78" s="3" t="e">
        <f>(LARGE(AA$7:AA$126,1)-AA78)/2+1</f>
        <v>#VALUE!</v>
      </c>
      <c r="BK78" s="3" t="e">
        <f>(LARGE(AB$7:AB$126,1)-AB78)/2+1</f>
        <v>#VALUE!</v>
      </c>
      <c r="BL78" s="3" t="e">
        <f>(LARGE(AC$7:AC$126,1)-AC78)/2+1</f>
        <v>#VALUE!</v>
      </c>
      <c r="BM78" s="3" t="e">
        <f>(LARGE(AD$7:AD$126,1)-AD78)/2+1</f>
        <v>#VALUE!</v>
      </c>
      <c r="BN78" s="3" t="e">
        <f>(LARGE(AE$7:AE$126,1)-AE78)/2+1</f>
        <v>#VALUE!</v>
      </c>
      <c r="BO78" s="3" t="e">
        <f>(LARGE(AF$7:AF$126,1)-AF78)/2+1</f>
        <v>#VALUE!</v>
      </c>
      <c r="BP78" s="3" t="e">
        <f>(LARGE(AG$7:AG$126,1)-AG78)/2+1</f>
        <v>#VALUE!</v>
      </c>
      <c r="BQ78" s="3" t="e">
        <f>(LARGE(AH$7:AH$126,1)-AH78)/2+1</f>
        <v>#NUM!</v>
      </c>
      <c r="BR78" s="3" t="e">
        <f>(LARGE(AI$7:AI$126,1)-AI78)/2+1</f>
        <v>#NUM!</v>
      </c>
    </row>
    <row r="79" ht="12.75" hidden="1" customHeight="1" spans="1:70">
      <c r="A79" s="139" t="str">
        <f>IF(R79&gt;0,IF(Q79="Viru SK",RANK(B79,B$7:B$126,1)-COUNTIF((Q$7:Q$126),"&lt;&gt;Viru SK"),""),"")</f>
        <v/>
      </c>
      <c r="B79" s="140">
        <f>IF((Q79="Viru SK"),U79,U79-1000)</f>
        <v>-880</v>
      </c>
      <c r="C79" s="141" t="str">
        <f>IF(R79&gt;0,IF(P79="t",RANK(D79,D$7:D$126,1)-COUNTBLANK(P$7:P$126),""),"")</f>
        <v/>
      </c>
      <c r="D79" s="142">
        <f>IF((P79="t"),U79,U79-1000)</f>
        <v>-880</v>
      </c>
      <c r="E79" s="143" t="str">
        <f>IF(R79&gt;0,IF(N79="m",RANK(F79,F$7:F$126,1)-COUNTBLANK(N$7:N$126),""),"")</f>
        <v/>
      </c>
      <c r="F79" s="144">
        <f>IF((N79="m"),U79,U79-1000)</f>
        <v>-880</v>
      </c>
      <c r="G79" s="145" t="str">
        <f>IF(R79&gt;0,IF(M79="n",RANK(H79,H$7:H$126,1)-COUNTBLANK(M$7:M$126),""),"")</f>
        <v/>
      </c>
      <c r="H79" s="144">
        <f>IF((M79="n"),U79,U79-1000)</f>
        <v>120</v>
      </c>
      <c r="I79" s="160" t="str">
        <f>IF(R79&gt;0,IF(O79="j",RANK(J79,J$7:J$126,1)-COUNTBLANK(O$7:O$126),""),"")</f>
        <v/>
      </c>
      <c r="J79" s="161">
        <f>IF((O79="j"),U79,U79-1000)</f>
        <v>-880</v>
      </c>
      <c r="K79" s="162" t="str">
        <f>IF(R79&gt;0,RANK(U79,U$7:U$126,1),"")</f>
        <v/>
      </c>
      <c r="L79" s="163" t="s">
        <v>269</v>
      </c>
      <c r="M79" s="164" t="s">
        <v>203</v>
      </c>
      <c r="N79" s="165"/>
      <c r="O79" s="166"/>
      <c r="P79" s="167"/>
      <c r="Q79" s="192"/>
      <c r="R79" s="154">
        <f>(IF(COUNT(Z79,AA79,AB79,AC79,AD79,AE79,AF79,AG79,AH79,AI79)&lt;10,SUM(Z79,AA79,AB79,AC79,AD79,AE79,AF79,AG79,AH79,AI79),SUM(LARGE((Z79,AA79,AB79,AC79,AD79,AE79,AF79,AG79,AH79,AI79),{1;2;3;4;5;6;7;8;9}))))</f>
        <v>0</v>
      </c>
      <c r="S79" s="193" t="str">
        <f>INDEX(ETAPP!B$1:B$32,MATCH(COUNTIF(BI79:BR79,1),ETAPP!A$1:A$32,0))&amp;INDEX(ETAPP!B$1:B$32,MATCH(COUNTIF(BI79:BR79,2),ETAPP!A$1:A$32,0))&amp;INDEX(ETAPP!B$1:B$32,MATCH(COUNTIF(BI79:BR79,3),ETAPP!A$1:A$32,0))&amp;INDEX(ETAPP!B$1:B$32,MATCH(COUNTIF(BI79:BR79,4),ETAPP!A$1:A$32,0))&amp;INDEX(ETAPP!B$1:B$32,MATCH(COUNTIF(BI79:BR79,5),ETAPP!A$1:A$32,0))&amp;INDEX(ETAPP!B$1:B$32,MATCH(COUNTIF(BI79:BR79,6),ETAPP!A$1:A$32,0))&amp;INDEX(ETAPP!B$1:B$32,MATCH(COUNTIF(BI79:BR79,7),ETAPP!A$1:A$32,0))&amp;INDEX(ETAPP!B$1:B$32,MATCH(COUNTIF(BI79:BR79,8),ETAPP!A$1:A$32,0))&amp;INDEX(ETAPP!B$1:B$32,MATCH(COUNTIF(BI79:BR79,9),ETAPP!A$1:A$32,0))&amp;INDEX(ETAPP!B$1:B$32,MATCH(COUNTIF(BI79:BR79,10),ETAPP!A$1:A$32,0))&amp;INDEX(ETAPP!B$1:B$32,MATCH(COUNTIF(BI79:BR79,11),ETAPP!A$1:A$32,0))&amp;INDEX(ETAPP!B$1:B$32,MATCH(COUNTIF(BI79:BR79,12),ETAPP!A$1:A$32,0))&amp;INDEX(ETAPP!B$1:B$32,MATCH(COUNTIF(BI79:BR79,13),ETAPP!A$1:A$32,0))&amp;INDEX(ETAPP!B$1:B$32,MATCH(COUNTIF(BI79:BR79,14),ETAPP!A$1:A$32,0))&amp;INDEX(ETAPP!B$1:B$32,MATCH(COUNTIF(BI79:BR79,15),ETAPP!A$1:A$32,0))&amp;INDEX(ETAPP!B$1:B$32,MATCH(COUNTIF(BI79:BR79,16),ETAPP!A$1:A$32,0))&amp;INDEX(ETAPP!B$1:B$32,MATCH(COUNTIF(BI79:BR79,17),ETAPP!A$1:A$32,0))&amp;INDEX(ETAPP!B$1:B$32,MATCH(COUNTIF(BI79:BR79,18),ETAPP!A$1:A$32,0))&amp;INDEX(ETAPP!B$1:B$32,MATCH(COUNTIF(BI79:BR79,19),ETAPP!A$1:A$32,0))&amp;INDEX(ETAPP!B$1:B$32,MATCH(COUNTIF(BI79:BR79,20),ETAPP!A$1:A$32,0))&amp;INDEX(ETAPP!B$1:B$32,MATCH(COUNTIF(BI79:BR79,21),ETAPP!A$1:A$32,0))</f>
        <v>000000000000000000000</v>
      </c>
      <c r="T79" s="193" t="str">
        <f>TEXT(R79,"000,0")&amp;"-"&amp;S79</f>
        <v>000,0-000000000000000000000</v>
      </c>
      <c r="U79" s="193">
        <f>COUNTIF(T$7:T$126,"&gt;="&amp;T79)</f>
        <v>120</v>
      </c>
      <c r="V79" s="193">
        <f>COUNTIF(L$7:L$126,"&gt;="&amp;L79)</f>
        <v>93</v>
      </c>
      <c r="W79" s="193" t="str">
        <f>TEXT(R79,"000,0")&amp;"-"&amp;S79&amp;"-"&amp;TEXT(V79,"000")</f>
        <v>000,0-000000000000000000000-093</v>
      </c>
      <c r="X79" s="193">
        <f>COUNTIF(W$7:W$126,"&gt;="&amp;W79)</f>
        <v>73</v>
      </c>
      <c r="Y79" s="201">
        <f>RANK(X79,X$7:X$126,0)</f>
        <v>48</v>
      </c>
      <c r="Z79" s="202" t="str">
        <f>IFERROR(INDEX('V1'!C$300:C$400,MATCH("*"&amp;L79&amp;"*",'V1'!B$300:B$400,0)),"  ")</f>
        <v>  </v>
      </c>
      <c r="AA79" s="202" t="str">
        <f>IFERROR(INDEX('V2'!C$300:C$400,MATCH("*"&amp;L79&amp;"*",'V2'!B$300:B$400,0)),"  ")</f>
        <v>  </v>
      </c>
      <c r="AB79" s="202" t="str">
        <f>IFERROR(INDEX('V3'!C$300:C$400,MATCH("*"&amp;L79&amp;"*",'V3'!B$300:B$400,0)),"  ")</f>
        <v>  </v>
      </c>
      <c r="AC79" s="202" t="str">
        <f>IFERROR(INDEX('V4'!C$300:C$400,MATCH("*"&amp;L79&amp;"*",'V4'!B$300:B$400,0)),"  ")</f>
        <v>  </v>
      </c>
      <c r="AD79" s="202" t="str">
        <f>IFERROR(INDEX('V5'!C$300:C$400,MATCH("*"&amp;L79&amp;"*",'V5'!B$300:B$400,0)),"  ")</f>
        <v>  </v>
      </c>
      <c r="AE79" s="202" t="str">
        <f>IFERROR(INDEX('V6'!C$300:C$400,MATCH("*"&amp;L79&amp;"*",'V6'!B$300:B$400,0)),"  ")</f>
        <v>  </v>
      </c>
      <c r="AF79" s="202" t="str">
        <f>IFERROR(INDEX('V7'!C$300:C$400,MATCH("*"&amp;L79&amp;"*",'V7'!B$300:B$400,0)),"  ")</f>
        <v>  </v>
      </c>
      <c r="AG79" s="202" t="str">
        <f>IFERROR(INDEX('V8'!C$300:C$400,MATCH("*"&amp;L79&amp;"*",'V8'!B$300:B$400,0)),"  ")</f>
        <v>  </v>
      </c>
      <c r="AH79" s="202"/>
      <c r="AI79" s="202"/>
      <c r="AJ79" s="222" t="str">
        <f>IF(AN79&gt;(AT$2-1),K79,"")</f>
        <v/>
      </c>
      <c r="AK79" s="223">
        <f>SUM(Z79:AI79)</f>
        <v>0</v>
      </c>
      <c r="AL79" s="224" t="str">
        <f>IFERROR("edasi "&amp;RANK(AJ79,AJ$7:AJ$126,1),K79)</f>
        <v/>
      </c>
      <c r="AM79" s="225" t="str">
        <f>IFERROR(INDEX(#REF!,MATCH("*"&amp;L79&amp;"*",#REF!,0)),"  ")</f>
        <v>  </v>
      </c>
      <c r="AN79" s="226">
        <f>COUNTIF(Z79:AI79,"&gt;=0")</f>
        <v>0</v>
      </c>
      <c r="AO79" s="126">
        <f>IFERROR(IF(Z79+1&gt;LARGE(Z$7:Z$126,1)-2*LEN(Z$5),1),0)+IFERROR(IF(AA79+1&gt;LARGE(AA$7:AA$126,1)-2*LEN(AA$5),1),0)+IFERROR(IF(AB79+1&gt;LARGE(AB$7:AB$126,1)-2*LEN(AB$5),1),0)+IFERROR(IF(AC79+1&gt;LARGE(AC$7:AC$126,1)-2*LEN(AC$5),1),0)+IFERROR(IF(AD79+1&gt;LARGE(AD$7:AD$126,1)-2*LEN(AD$5),1),0)+IFERROR(IF(AE79+1&gt;LARGE(AE$7:AE$126,1)-2*LEN(AE$5),1),0)+IFERROR(IF(AF79+1&gt;LARGE(AF$7:AF$126,1)-2*LEN(AF$5),1),0)+IFERROR(IF(AG79+1&gt;LARGE(AG$7:AG$126,1)-2*LEN(AG$5),1),0)+IFERROR(IF(AH79+1&gt;LARGE(AH$7:AH$126,1)-2*LEN(AH$5),1),0)+IFERROR(IF(AI79+1&gt;LARGE(AI$7:AI$126,1)-2*LEN(AI$5),1),0)</f>
        <v>0</v>
      </c>
      <c r="AP79" s="126">
        <f>IF(Z79=0,0,IF(Z79=IFERROR(LARGE(Z$7:Z$126,1),0),1,0))+IF(AA79=0,0,IF(AA79=IFERROR(LARGE(AA$7:AA$126,1),0),1,0))+IF(AB79=0,0,IF(AB79=IFERROR(LARGE(AB$7:AB$126,1),0),1,0))+IF(AC79=0,0,IF(AC79=IFERROR(LARGE(AC$7:AC$126,1),0),1,0))+IF(AD79=0,0,IF(AD79=IFERROR(LARGE(AD$7:AD$126,1),0),1,0))+IF(AE79=0,0,IF(AE79=IFERROR(LARGE(AE$7:AE$126,1),0),1,0))+IF(AF79=0,0,IF(AF79=IFERROR(LARGE(AF$7:AF$126,1),0),1,0))+IF(AG79=0,0,IF(AG79=IFERROR(LARGE(AG$7:AG$126,1),0),1,0))+IF(AH79=0,0,IF(AH79=IFERROR(LARGE(AH$7:AH$126,1),0),1,0))+IF(AI79=0,0,IF(AI79=IFERROR(LARGE(AI$7:AI$126,1),0),1,0))</f>
        <v>0</v>
      </c>
      <c r="AQ79" s="233"/>
      <c r="AR79" s="233"/>
      <c r="AS79" s="233"/>
      <c r="AT79" s="234">
        <f>SMALL(AU79:BD79,AT$3)</f>
        <v>0.0001</v>
      </c>
      <c r="AU79" s="235">
        <f>IF(Z79="  ",0+MID(Z$6,FIND("V",Z$6)+1,256)/10000,Z79+MID(Z$6,FIND("V",Z$6)+1,256)/10000)</f>
        <v>0.0001</v>
      </c>
      <c r="AV79" s="235">
        <f>IF(AA79="  ",0+MID(AA$6,FIND("V",AA$6)+1,256)/10000,AA79+MID(AA$6,FIND("V",AA$6)+1,256)/10000)</f>
        <v>0.0002</v>
      </c>
      <c r="AW79" s="235">
        <f>IF(AB79="  ",0+MID(AB$6,FIND("V",AB$6)+1,256)/10000,AB79+MID(AB$6,FIND("V",AB$6)+1,256)/10000)</f>
        <v>0.0003</v>
      </c>
      <c r="AX79" s="235">
        <f>IF(AC79="  ",0+MID(AC$6,FIND("V",AC$6)+1,256)/10000,AC79+MID(AC$6,FIND("V",AC$6)+1,256)/10000)</f>
        <v>0.0004</v>
      </c>
      <c r="AY79" s="235">
        <f>IF(AD79="  ",0+MID(AD$6,FIND("V",AD$6)+1,256)/10000,AD79+MID(AD$6,FIND("V",AD$6)+1,256)/10000)</f>
        <v>0.0005</v>
      </c>
      <c r="AZ79" s="235">
        <f>IF(AE79="  ",0+MID(AE$6,FIND("V",AE$6)+1,256)/10000,AE79+MID(AE$6,FIND("V",AE$6)+1,256)/10000)</f>
        <v>0.0006</v>
      </c>
      <c r="BA79" s="235">
        <f>IF(AF79="  ",0+MID(AF$6,FIND("V",AF$6)+1,256)/10000,AF79+MID(AF$6,FIND("V",AF$6)+1,256)/10000)</f>
        <v>0.0007</v>
      </c>
      <c r="BB79" s="235">
        <f>IF(AG79="  ",0+MID(AG$6,FIND("V",AG$6)+1,256)/10000,AG79+MID(AG$6,FIND("V",AG$6)+1,256)/10000)</f>
        <v>0.0008</v>
      </c>
      <c r="BC79" s="235">
        <f>IF(AH79="  ",0+MID(AH$6,FIND("V",AH$6)+1,256)/10000,AH79+MID(AH$6,FIND("V",AH$6)+1,256)/10000)</f>
        <v>0.0009</v>
      </c>
      <c r="BD79" s="235">
        <f>IF(AI79="  ",0+MID(AI$6,FIND("V",AI$6)+1,256)/10000,AI79+MID(AI$6,FIND("V",AI$6)+1,256)/10000)</f>
        <v>0.001</v>
      </c>
      <c r="BE79" s="233"/>
      <c r="BF79" s="233"/>
      <c r="BG79" s="233"/>
      <c r="BH79" s="233"/>
      <c r="BI79" s="3" t="e">
        <f>(LARGE(Z$7:Z$126,1)-Z79)/2+1</f>
        <v>#VALUE!</v>
      </c>
      <c r="BJ79" s="3" t="e">
        <f>(LARGE(AA$7:AA$126,1)-AA79)/2+1</f>
        <v>#VALUE!</v>
      </c>
      <c r="BK79" s="3" t="e">
        <f>(LARGE(AB$7:AB$126,1)-AB79)/2+1</f>
        <v>#VALUE!</v>
      </c>
      <c r="BL79" s="3" t="e">
        <f>(LARGE(AC$7:AC$126,1)-AC79)/2+1</f>
        <v>#VALUE!</v>
      </c>
      <c r="BM79" s="3" t="e">
        <f>(LARGE(AD$7:AD$126,1)-AD79)/2+1</f>
        <v>#VALUE!</v>
      </c>
      <c r="BN79" s="3" t="e">
        <f>(LARGE(AE$7:AE$126,1)-AE79)/2+1</f>
        <v>#VALUE!</v>
      </c>
      <c r="BO79" s="3" t="e">
        <f>(LARGE(AF$7:AF$126,1)-AF79)/2+1</f>
        <v>#VALUE!</v>
      </c>
      <c r="BP79" s="3" t="e">
        <f>(LARGE(AG$7:AG$126,1)-AG79)/2+1</f>
        <v>#VALUE!</v>
      </c>
      <c r="BQ79" s="3" t="e">
        <f>(LARGE(AH$7:AH$126,1)-AH79)/2+1</f>
        <v>#NUM!</v>
      </c>
      <c r="BR79" s="3" t="e">
        <f>(LARGE(AI$7:AI$126,1)-AI79)/2+1</f>
        <v>#NUM!</v>
      </c>
    </row>
    <row r="80" ht="12.75" hidden="1" customHeight="1" spans="1:70">
      <c r="A80" s="139" t="str">
        <f>IF(R80&gt;0,IF(Q80="Viru SK",RANK(B80,B$7:B$126,1)-COUNTIF((Q$7:Q$126),"&lt;&gt;Viru SK"),""),"")</f>
        <v/>
      </c>
      <c r="B80" s="140">
        <f>IF((Q80="Viru SK"),U80,U80-1000)</f>
        <v>120</v>
      </c>
      <c r="C80" s="141" t="str">
        <f>IF(R80&gt;0,IF(P80="t",RANK(D80,D$7:D$126,1)-COUNTBLANK(P$7:P$126),""),"")</f>
        <v/>
      </c>
      <c r="D80" s="142">
        <f>IF((P80="t"),U80,U80-1000)</f>
        <v>120</v>
      </c>
      <c r="E80" s="143" t="str">
        <f>IF(R80&gt;0,IF(N80="m",RANK(F80,F$7:F$126,1)-COUNTBLANK(N$7:N$126),""),"")</f>
        <v/>
      </c>
      <c r="F80" s="144">
        <f>IF((N80="m"),U80,U80-1000)</f>
        <v>120</v>
      </c>
      <c r="G80" s="145" t="str">
        <f>IF(R80&gt;0,IF(M80="n",RANK(H80,H$7:H$126,1)-COUNTBLANK(M$7:M$126),""),"")</f>
        <v/>
      </c>
      <c r="H80" s="144">
        <f>IF((M80="n"),U80,U80-1000)</f>
        <v>-880</v>
      </c>
      <c r="I80" s="160" t="str">
        <f>IF(R80&gt;0,IF(O80="j",RANK(J80,J$7:J$126,1)-COUNTBLANK(O$7:O$126),""),"")</f>
        <v/>
      </c>
      <c r="J80" s="161">
        <f>IF((O80="j"),U80,U80-1000)</f>
        <v>-880</v>
      </c>
      <c r="K80" s="162" t="str">
        <f>IF(R80&gt;0,RANK(U80,U$7:U$126,1),"")</f>
        <v/>
      </c>
      <c r="L80" s="168" t="s">
        <v>270</v>
      </c>
      <c r="M80" s="164"/>
      <c r="N80" s="165" t="s">
        <v>193</v>
      </c>
      <c r="O80" s="166"/>
      <c r="P80" s="167" t="s">
        <v>196</v>
      </c>
      <c r="Q80" s="192" t="s">
        <v>171</v>
      </c>
      <c r="R80" s="154">
        <f>(IF(COUNT(Z80,AA80,AB80,AC80,AD80,AE80,AF80,AG80,AH80,AI80)&lt;10,SUM(Z80,AA80,AB80,AC80,AD80,AE80,AF80,AG80,AH80,AI80),SUM(LARGE((Z80,AA80,AB80,AC80,AD80,AE80,AF80,AG80,AH80,AI80),{1;2;3;4;5;6;7;8;9}))))</f>
        <v>0</v>
      </c>
      <c r="S80" s="193" t="str">
        <f>INDEX(ETAPP!B$1:B$32,MATCH(COUNTIF(BI80:BR80,1),ETAPP!A$1:A$32,0))&amp;INDEX(ETAPP!B$1:B$32,MATCH(COUNTIF(BI80:BR80,2),ETAPP!A$1:A$32,0))&amp;INDEX(ETAPP!B$1:B$32,MATCH(COUNTIF(BI80:BR80,3),ETAPP!A$1:A$32,0))&amp;INDEX(ETAPP!B$1:B$32,MATCH(COUNTIF(BI80:BR80,4),ETAPP!A$1:A$32,0))&amp;INDEX(ETAPP!B$1:B$32,MATCH(COUNTIF(BI80:BR80,5),ETAPP!A$1:A$32,0))&amp;INDEX(ETAPP!B$1:B$32,MATCH(COUNTIF(BI80:BR80,6),ETAPP!A$1:A$32,0))&amp;INDEX(ETAPP!B$1:B$32,MATCH(COUNTIF(BI80:BR80,7),ETAPP!A$1:A$32,0))&amp;INDEX(ETAPP!B$1:B$32,MATCH(COUNTIF(BI80:BR80,8),ETAPP!A$1:A$32,0))&amp;INDEX(ETAPP!B$1:B$32,MATCH(COUNTIF(BI80:BR80,9),ETAPP!A$1:A$32,0))&amp;INDEX(ETAPP!B$1:B$32,MATCH(COUNTIF(BI80:BR80,10),ETAPP!A$1:A$32,0))&amp;INDEX(ETAPP!B$1:B$32,MATCH(COUNTIF(BI80:BR80,11),ETAPP!A$1:A$32,0))&amp;INDEX(ETAPP!B$1:B$32,MATCH(COUNTIF(BI80:BR80,12),ETAPP!A$1:A$32,0))&amp;INDEX(ETAPP!B$1:B$32,MATCH(COUNTIF(BI80:BR80,13),ETAPP!A$1:A$32,0))&amp;INDEX(ETAPP!B$1:B$32,MATCH(COUNTIF(BI80:BR80,14),ETAPP!A$1:A$32,0))&amp;INDEX(ETAPP!B$1:B$32,MATCH(COUNTIF(BI80:BR80,15),ETAPP!A$1:A$32,0))&amp;INDEX(ETAPP!B$1:B$32,MATCH(COUNTIF(BI80:BR80,16),ETAPP!A$1:A$32,0))&amp;INDEX(ETAPP!B$1:B$32,MATCH(COUNTIF(BI80:BR80,17),ETAPP!A$1:A$32,0))&amp;INDEX(ETAPP!B$1:B$32,MATCH(COUNTIF(BI80:BR80,18),ETAPP!A$1:A$32,0))&amp;INDEX(ETAPP!B$1:B$32,MATCH(COUNTIF(BI80:BR80,19),ETAPP!A$1:A$32,0))&amp;INDEX(ETAPP!B$1:B$32,MATCH(COUNTIF(BI80:BR80,20),ETAPP!A$1:A$32,0))&amp;INDEX(ETAPP!B$1:B$32,MATCH(COUNTIF(BI80:BR80,21),ETAPP!A$1:A$32,0))</f>
        <v>000000000000000000000</v>
      </c>
      <c r="T80" s="193" t="str">
        <f>TEXT(R80,"000,0")&amp;"-"&amp;S80</f>
        <v>000,0-000000000000000000000</v>
      </c>
      <c r="U80" s="193">
        <f>COUNTIF(T$7:T$126,"&gt;="&amp;T80)</f>
        <v>120</v>
      </c>
      <c r="V80" s="193">
        <f>COUNTIF(L$7:L$126,"&gt;="&amp;L80)</f>
        <v>92</v>
      </c>
      <c r="W80" s="193" t="str">
        <f>TEXT(R80,"000,0")&amp;"-"&amp;S80&amp;"-"&amp;TEXT(V80,"000")</f>
        <v>000,0-000000000000000000000-092</v>
      </c>
      <c r="X80" s="193">
        <f>COUNTIF(W$7:W$126,"&gt;="&amp;W80)</f>
        <v>74</v>
      </c>
      <c r="Y80" s="201">
        <f>RANK(X80,X$7:X$126,0)</f>
        <v>47</v>
      </c>
      <c r="Z80" s="202" t="str">
        <f>IFERROR(INDEX('V1'!C$300:C$400,MATCH("*"&amp;L80&amp;"*",'V1'!B$300:B$400,0)),"  ")</f>
        <v>  </v>
      </c>
      <c r="AA80" s="202" t="str">
        <f>IFERROR(INDEX('V2'!C$300:C$400,MATCH("*"&amp;L80&amp;"*",'V2'!B$300:B$400,0)),"  ")</f>
        <v>  </v>
      </c>
      <c r="AB80" s="202" t="str">
        <f>IFERROR(INDEX('V3'!C$300:C$400,MATCH("*"&amp;L80&amp;"*",'V3'!B$300:B$400,0)),"  ")</f>
        <v>  </v>
      </c>
      <c r="AC80" s="202" t="str">
        <f>IFERROR(INDEX('V4'!C$300:C$400,MATCH("*"&amp;L80&amp;"*",'V4'!B$300:B$400,0)),"  ")</f>
        <v>  </v>
      </c>
      <c r="AD80" s="202" t="str">
        <f>IFERROR(INDEX('V5'!C$300:C$400,MATCH("*"&amp;L80&amp;"*",'V5'!B$300:B$400,0)),"  ")</f>
        <v>  </v>
      </c>
      <c r="AE80" s="202" t="str">
        <f>IFERROR(INDEX('V6'!C$300:C$400,MATCH("*"&amp;L80&amp;"*",'V6'!B$300:B$400,0)),"  ")</f>
        <v>  </v>
      </c>
      <c r="AF80" s="202" t="str">
        <f>IFERROR(INDEX('V7'!C$300:C$400,MATCH("*"&amp;L80&amp;"*",'V7'!B$300:B$400,0)),"  ")</f>
        <v>  </v>
      </c>
      <c r="AG80" s="202" t="str">
        <f>IFERROR(INDEX('V8'!C$300:C$400,MATCH("*"&amp;L80&amp;"*",'V8'!B$300:B$400,0)),"  ")</f>
        <v>  </v>
      </c>
      <c r="AH80" s="202"/>
      <c r="AI80" s="202"/>
      <c r="AJ80" s="222" t="str">
        <f>IF(AN80&gt;(AT$2-1),K80,"")</f>
        <v/>
      </c>
      <c r="AK80" s="223">
        <f>SUM(Z80:AI80)</f>
        <v>0</v>
      </c>
      <c r="AL80" s="224" t="str">
        <f>IFERROR("edasi "&amp;RANK(AJ80,AJ$7:AJ$126,1),K80)</f>
        <v/>
      </c>
      <c r="AM80" s="225" t="str">
        <f>IFERROR(INDEX(#REF!,MATCH("*"&amp;L80&amp;"*",#REF!,0)),"  ")</f>
        <v>  </v>
      </c>
      <c r="AN80" s="226">
        <f>COUNTIF(Z80:AI80,"&gt;=0")</f>
        <v>0</v>
      </c>
      <c r="AO80" s="126">
        <f>IFERROR(IF(Z80+1&gt;LARGE(Z$7:Z$126,1)-2*LEN(Z$5),1),0)+IFERROR(IF(AA80+1&gt;LARGE(AA$7:AA$126,1)-2*LEN(AA$5),1),0)+IFERROR(IF(AB80+1&gt;LARGE(AB$7:AB$126,1)-2*LEN(AB$5),1),0)+IFERROR(IF(AC80+1&gt;LARGE(AC$7:AC$126,1)-2*LEN(AC$5),1),0)+IFERROR(IF(AD80+1&gt;LARGE(AD$7:AD$126,1)-2*LEN(AD$5),1),0)+IFERROR(IF(AE80+1&gt;LARGE(AE$7:AE$126,1)-2*LEN(AE$5),1),0)+IFERROR(IF(AF80+1&gt;LARGE(AF$7:AF$126,1)-2*LEN(AF$5),1),0)+IFERROR(IF(AG80+1&gt;LARGE(AG$7:AG$126,1)-2*LEN(AG$5),1),0)+IFERROR(IF(AH80+1&gt;LARGE(AH$7:AH$126,1)-2*LEN(AH$5),1),0)+IFERROR(IF(AI80+1&gt;LARGE(AI$7:AI$126,1)-2*LEN(AI$5),1),0)</f>
        <v>0</v>
      </c>
      <c r="AP80" s="126">
        <f>IF(Z80=0,0,IF(Z80=IFERROR(LARGE(Z$7:Z$126,1),0),1,0))+IF(AA80=0,0,IF(AA80=IFERROR(LARGE(AA$7:AA$126,1),0),1,0))+IF(AB80=0,0,IF(AB80=IFERROR(LARGE(AB$7:AB$126,1),0),1,0))+IF(AC80=0,0,IF(AC80=IFERROR(LARGE(AC$7:AC$126,1),0),1,0))+IF(AD80=0,0,IF(AD80=IFERROR(LARGE(AD$7:AD$126,1),0),1,0))+IF(AE80=0,0,IF(AE80=IFERROR(LARGE(AE$7:AE$126,1),0),1,0))+IF(AF80=0,0,IF(AF80=IFERROR(LARGE(AF$7:AF$126,1),0),1,0))+IF(AG80=0,0,IF(AG80=IFERROR(LARGE(AG$7:AG$126,1),0),1,0))+IF(AH80=0,0,IF(AH80=IFERROR(LARGE(AH$7:AH$126,1),0),1,0))+IF(AI80=0,0,IF(AI80=IFERROR(LARGE(AI$7:AI$126,1),0),1,0))</f>
        <v>0</v>
      </c>
      <c r="AQ80" s="233"/>
      <c r="AR80" s="233"/>
      <c r="AS80" s="233"/>
      <c r="AT80" s="234">
        <f>SMALL(AU80:BD80,AT$3)</f>
        <v>0.0001</v>
      </c>
      <c r="AU80" s="235">
        <f>IF(Z80="  ",0+MID(Z$6,FIND("V",Z$6)+1,256)/10000,Z80+MID(Z$6,FIND("V",Z$6)+1,256)/10000)</f>
        <v>0.0001</v>
      </c>
      <c r="AV80" s="235">
        <f>IF(AA80="  ",0+MID(AA$6,FIND("V",AA$6)+1,256)/10000,AA80+MID(AA$6,FIND("V",AA$6)+1,256)/10000)</f>
        <v>0.0002</v>
      </c>
      <c r="AW80" s="235">
        <f>IF(AB80="  ",0+MID(AB$6,FIND("V",AB$6)+1,256)/10000,AB80+MID(AB$6,FIND("V",AB$6)+1,256)/10000)</f>
        <v>0.0003</v>
      </c>
      <c r="AX80" s="235">
        <f>IF(AC80="  ",0+MID(AC$6,FIND("V",AC$6)+1,256)/10000,AC80+MID(AC$6,FIND("V",AC$6)+1,256)/10000)</f>
        <v>0.0004</v>
      </c>
      <c r="AY80" s="235">
        <f>IF(AD80="  ",0+MID(AD$6,FIND("V",AD$6)+1,256)/10000,AD80+MID(AD$6,FIND("V",AD$6)+1,256)/10000)</f>
        <v>0.0005</v>
      </c>
      <c r="AZ80" s="235">
        <f>IF(AE80="  ",0+MID(AE$6,FIND("V",AE$6)+1,256)/10000,AE80+MID(AE$6,FIND("V",AE$6)+1,256)/10000)</f>
        <v>0.0006</v>
      </c>
      <c r="BA80" s="235">
        <f>IF(AF80="  ",0+MID(AF$6,FIND("V",AF$6)+1,256)/10000,AF80+MID(AF$6,FIND("V",AF$6)+1,256)/10000)</f>
        <v>0.0007</v>
      </c>
      <c r="BB80" s="235">
        <f>IF(AG80="  ",0+MID(AG$6,FIND("V",AG$6)+1,256)/10000,AG80+MID(AG$6,FIND("V",AG$6)+1,256)/10000)</f>
        <v>0.0008</v>
      </c>
      <c r="BC80" s="235">
        <f>IF(AH80="  ",0+MID(AH$6,FIND("V",AH$6)+1,256)/10000,AH80+MID(AH$6,FIND("V",AH$6)+1,256)/10000)</f>
        <v>0.0009</v>
      </c>
      <c r="BD80" s="235">
        <f>IF(AI80="  ",0+MID(AI$6,FIND("V",AI$6)+1,256)/10000,AI80+MID(AI$6,FIND("V",AI$6)+1,256)/10000)</f>
        <v>0.001</v>
      </c>
      <c r="BE80" s="233"/>
      <c r="BF80" s="233"/>
      <c r="BG80" s="233"/>
      <c r="BH80" s="233"/>
      <c r="BI80" s="3" t="e">
        <f>(LARGE(Z$7:Z$126,1)-Z80)/2+1</f>
        <v>#VALUE!</v>
      </c>
      <c r="BJ80" s="3" t="e">
        <f>(LARGE(AA$7:AA$126,1)-AA80)/2+1</f>
        <v>#VALUE!</v>
      </c>
      <c r="BK80" s="3" t="e">
        <f>(LARGE(AB$7:AB$126,1)-AB80)/2+1</f>
        <v>#VALUE!</v>
      </c>
      <c r="BL80" s="3" t="e">
        <f>(LARGE(AC$7:AC$126,1)-AC80)/2+1</f>
        <v>#VALUE!</v>
      </c>
      <c r="BM80" s="3" t="e">
        <f>(LARGE(AD$7:AD$126,1)-AD80)/2+1</f>
        <v>#VALUE!</v>
      </c>
      <c r="BN80" s="3" t="e">
        <f>(LARGE(AE$7:AE$126,1)-AE80)/2+1</f>
        <v>#VALUE!</v>
      </c>
      <c r="BO80" s="3" t="e">
        <f>(LARGE(AF$7:AF$126,1)-AF80)/2+1</f>
        <v>#VALUE!</v>
      </c>
      <c r="BP80" s="3" t="e">
        <f>(LARGE(AG$7:AG$126,1)-AG80)/2+1</f>
        <v>#VALUE!</v>
      </c>
      <c r="BQ80" s="3" t="e">
        <f>(LARGE(AH$7:AH$126,1)-AH80)/2+1</f>
        <v>#NUM!</v>
      </c>
      <c r="BR80" s="3" t="e">
        <f>(LARGE(AI$7:AI$126,1)-AI80)/2+1</f>
        <v>#NUM!</v>
      </c>
    </row>
    <row r="81" ht="12.75" hidden="1" customHeight="1" spans="1:70">
      <c r="A81" s="139" t="str">
        <f>IF(R81&gt;0,IF(Q81="Viru SK",RANK(B81,B$7:B$126,1)-COUNTIF((Q$7:Q$126),"&lt;&gt;Viru SK"),""),"")</f>
        <v/>
      </c>
      <c r="B81" s="140">
        <f>IF((Q81="Viru SK"),U81,U81-1000)</f>
        <v>-880</v>
      </c>
      <c r="C81" s="141" t="str">
        <f>IF(R81&gt;0,IF(P81="t",RANK(D81,D$7:D$126,1)-COUNTBLANK(P$7:P$126),""),"")</f>
        <v/>
      </c>
      <c r="D81" s="142">
        <f>IF((P81="t"),U81,U81-1000)</f>
        <v>120</v>
      </c>
      <c r="E81" s="143" t="str">
        <f>IF(R81&gt;0,IF(N81="m",RANK(F81,F$7:F$126,1)-COUNTBLANK(N$7:N$126),""),"")</f>
        <v/>
      </c>
      <c r="F81" s="144">
        <f>IF((N81="m"),U81,U81-1000)</f>
        <v>120</v>
      </c>
      <c r="G81" s="145" t="str">
        <f>IF(R81&gt;0,IF(M81="n",RANK(H81,H$7:H$126,1)-COUNTBLANK(M$7:M$126),""),"")</f>
        <v/>
      </c>
      <c r="H81" s="144">
        <f>IF((M81="n"),U81,U81-1000)</f>
        <v>-880</v>
      </c>
      <c r="I81" s="160" t="str">
        <f>IF(R81&gt;0,IF(O81="j",RANK(J81,J$7:J$126,1)-COUNTBLANK(O$7:O$126),""),"")</f>
        <v/>
      </c>
      <c r="J81" s="161">
        <f>IF((O81="j"),U81,U81-1000)</f>
        <v>-880</v>
      </c>
      <c r="K81" s="162" t="str">
        <f>IF(R81&gt;0,RANK(U81,U$7:U$126,1),"")</f>
        <v/>
      </c>
      <c r="L81" s="168" t="s">
        <v>271</v>
      </c>
      <c r="M81" s="164"/>
      <c r="N81" s="165" t="str">
        <f>IF(M81="","m","")</f>
        <v>m</v>
      </c>
      <c r="O81" s="166"/>
      <c r="P81" s="167" t="s">
        <v>196</v>
      </c>
      <c r="Q81" s="192"/>
      <c r="R81" s="154">
        <f>(IF(COUNT(Z81,AA81,AB81,AC81,AD81,AE81,AF81,AG81,AH81,AI81)&lt;10,SUM(Z81,AA81,AB81,AC81,AD81,AE81,AF81,AG81,AH81,AI81),SUM(LARGE((Z81,AA81,AB81,AC81,AD81,AE81,AF81,AG81,AH81,AI81),{1;2;3;4;5;6;7;8;9}))))</f>
        <v>0</v>
      </c>
      <c r="S81" s="193" t="str">
        <f>INDEX(ETAPP!B$1:B$32,MATCH(COUNTIF(BI81:BR81,1),ETAPP!A$1:A$32,0))&amp;INDEX(ETAPP!B$1:B$32,MATCH(COUNTIF(BI81:BR81,2),ETAPP!A$1:A$32,0))&amp;INDEX(ETAPP!B$1:B$32,MATCH(COUNTIF(BI81:BR81,3),ETAPP!A$1:A$32,0))&amp;INDEX(ETAPP!B$1:B$32,MATCH(COUNTIF(BI81:BR81,4),ETAPP!A$1:A$32,0))&amp;INDEX(ETAPP!B$1:B$32,MATCH(COUNTIF(BI81:BR81,5),ETAPP!A$1:A$32,0))&amp;INDEX(ETAPP!B$1:B$32,MATCH(COUNTIF(BI81:BR81,6),ETAPP!A$1:A$32,0))&amp;INDEX(ETAPP!B$1:B$32,MATCH(COUNTIF(BI81:BR81,7),ETAPP!A$1:A$32,0))&amp;INDEX(ETAPP!B$1:B$32,MATCH(COUNTIF(BI81:BR81,8),ETAPP!A$1:A$32,0))&amp;INDEX(ETAPP!B$1:B$32,MATCH(COUNTIF(BI81:BR81,9),ETAPP!A$1:A$32,0))&amp;INDEX(ETAPP!B$1:B$32,MATCH(COUNTIF(BI81:BR81,10),ETAPP!A$1:A$32,0))&amp;INDEX(ETAPP!B$1:B$32,MATCH(COUNTIF(BI81:BR81,11),ETAPP!A$1:A$32,0))&amp;INDEX(ETAPP!B$1:B$32,MATCH(COUNTIF(BI81:BR81,12),ETAPP!A$1:A$32,0))&amp;INDEX(ETAPP!B$1:B$32,MATCH(COUNTIF(BI81:BR81,13),ETAPP!A$1:A$32,0))&amp;INDEX(ETAPP!B$1:B$32,MATCH(COUNTIF(BI81:BR81,14),ETAPP!A$1:A$32,0))&amp;INDEX(ETAPP!B$1:B$32,MATCH(COUNTIF(BI81:BR81,15),ETAPP!A$1:A$32,0))&amp;INDEX(ETAPP!B$1:B$32,MATCH(COUNTIF(BI81:BR81,16),ETAPP!A$1:A$32,0))&amp;INDEX(ETAPP!B$1:B$32,MATCH(COUNTIF(BI81:BR81,17),ETAPP!A$1:A$32,0))&amp;INDEX(ETAPP!B$1:B$32,MATCH(COUNTIF(BI81:BR81,18),ETAPP!A$1:A$32,0))&amp;INDEX(ETAPP!B$1:B$32,MATCH(COUNTIF(BI81:BR81,19),ETAPP!A$1:A$32,0))&amp;INDEX(ETAPP!B$1:B$32,MATCH(COUNTIF(BI81:BR81,20),ETAPP!A$1:A$32,0))&amp;INDEX(ETAPP!B$1:B$32,MATCH(COUNTIF(BI81:BR81,21),ETAPP!A$1:A$32,0))</f>
        <v>000000000000000000000</v>
      </c>
      <c r="T81" s="193" t="str">
        <f>TEXT(R81,"000,0")&amp;"-"&amp;S81</f>
        <v>000,0-000000000000000000000</v>
      </c>
      <c r="U81" s="193">
        <f>COUNTIF(T$7:T$126,"&gt;="&amp;T81)</f>
        <v>120</v>
      </c>
      <c r="V81" s="193">
        <f>COUNTIF(L$7:L$126,"&gt;="&amp;L81)</f>
        <v>89</v>
      </c>
      <c r="W81" s="193" t="str">
        <f>TEXT(R81,"000,0")&amp;"-"&amp;S81&amp;"-"&amp;TEXT(V81,"000")</f>
        <v>000,0-000000000000000000000-089</v>
      </c>
      <c r="X81" s="193">
        <f>COUNTIF(W$7:W$126,"&gt;="&amp;W81)</f>
        <v>75</v>
      </c>
      <c r="Y81" s="201">
        <f>RANK(X81,X$7:X$126,0)</f>
        <v>46</v>
      </c>
      <c r="Z81" s="202" t="str">
        <f>IFERROR(INDEX('V1'!C$300:C$400,MATCH("*"&amp;L81&amp;"*",'V1'!B$300:B$400,0)),"  ")</f>
        <v>  </v>
      </c>
      <c r="AA81" s="202" t="str">
        <f>IFERROR(INDEX('V2'!C$300:C$400,MATCH("*"&amp;L81&amp;"*",'V2'!B$300:B$400,0)),"  ")</f>
        <v>  </v>
      </c>
      <c r="AB81" s="202" t="str">
        <f>IFERROR(INDEX('V3'!C$300:C$400,MATCH("*"&amp;L81&amp;"*",'V3'!B$300:B$400,0)),"  ")</f>
        <v>  </v>
      </c>
      <c r="AC81" s="202" t="str">
        <f>IFERROR(INDEX('V4'!C$300:C$400,MATCH("*"&amp;L81&amp;"*",'V4'!B$300:B$400,0)),"  ")</f>
        <v>  </v>
      </c>
      <c r="AD81" s="202" t="str">
        <f>IFERROR(INDEX('V5'!C$300:C$400,MATCH("*"&amp;L81&amp;"*",'V5'!B$300:B$400,0)),"  ")</f>
        <v>  </v>
      </c>
      <c r="AE81" s="202" t="str">
        <f>IFERROR(INDEX('V6'!C$300:C$400,MATCH("*"&amp;L81&amp;"*",'V6'!B$300:B$400,0)),"  ")</f>
        <v>  </v>
      </c>
      <c r="AF81" s="202" t="str">
        <f>IFERROR(INDEX('V7'!C$300:C$400,MATCH("*"&amp;L81&amp;"*",'V7'!B$300:B$400,0)),"  ")</f>
        <v>  </v>
      </c>
      <c r="AG81" s="202" t="str">
        <f>IFERROR(INDEX('V8'!C$300:C$400,MATCH("*"&amp;L81&amp;"*",'V8'!B$300:B$400,0)),"  ")</f>
        <v>  </v>
      </c>
      <c r="AH81" s="202"/>
      <c r="AI81" s="202"/>
      <c r="AJ81" s="222" t="str">
        <f>IF(AN81&gt;(AT$2-1),K81,"")</f>
        <v/>
      </c>
      <c r="AK81" s="223">
        <f>SUM(Z81:AI81)</f>
        <v>0</v>
      </c>
      <c r="AL81" s="224" t="str">
        <f>IFERROR("edasi "&amp;RANK(AJ81,AJ$7:AJ$126,1),K81)</f>
        <v/>
      </c>
      <c r="AM81" s="225" t="str">
        <f>IFERROR(INDEX(#REF!,MATCH("*"&amp;L81&amp;"*",#REF!,0)),"  ")</f>
        <v>  </v>
      </c>
      <c r="AN81" s="226">
        <f>COUNTIF(Z81:AI81,"&gt;=0")</f>
        <v>0</v>
      </c>
      <c r="AO81" s="126">
        <f>IFERROR(IF(Z81+1&gt;LARGE(Z$7:Z$126,1)-2*LEN(Z$5),1),0)+IFERROR(IF(AA81+1&gt;LARGE(AA$7:AA$126,1)-2*LEN(AA$5),1),0)+IFERROR(IF(AB81+1&gt;LARGE(AB$7:AB$126,1)-2*LEN(AB$5),1),0)+IFERROR(IF(AC81+1&gt;LARGE(AC$7:AC$126,1)-2*LEN(AC$5),1),0)+IFERROR(IF(AD81+1&gt;LARGE(AD$7:AD$126,1)-2*LEN(AD$5),1),0)+IFERROR(IF(AE81+1&gt;LARGE(AE$7:AE$126,1)-2*LEN(AE$5),1),0)+IFERROR(IF(AF81+1&gt;LARGE(AF$7:AF$126,1)-2*LEN(AF$5),1),0)+IFERROR(IF(AG81+1&gt;LARGE(AG$7:AG$126,1)-2*LEN(AG$5),1),0)+IFERROR(IF(AH81+1&gt;LARGE(AH$7:AH$126,1)-2*LEN(AH$5),1),0)+IFERROR(IF(AI81+1&gt;LARGE(AI$7:AI$126,1)-2*LEN(AI$5),1),0)</f>
        <v>0</v>
      </c>
      <c r="AP81" s="126">
        <f>IF(Z81=0,0,IF(Z81=IFERROR(LARGE(Z$7:Z$126,1),0),1,0))+IF(AA81=0,0,IF(AA81=IFERROR(LARGE(AA$7:AA$126,1),0),1,0))+IF(AB81=0,0,IF(AB81=IFERROR(LARGE(AB$7:AB$126,1),0),1,0))+IF(AC81=0,0,IF(AC81=IFERROR(LARGE(AC$7:AC$126,1),0),1,0))+IF(AD81=0,0,IF(AD81=IFERROR(LARGE(AD$7:AD$126,1),0),1,0))+IF(AE81=0,0,IF(AE81=IFERROR(LARGE(AE$7:AE$126,1),0),1,0))+IF(AF81=0,0,IF(AF81=IFERROR(LARGE(AF$7:AF$126,1),0),1,0))+IF(AG81=0,0,IF(AG81=IFERROR(LARGE(AG$7:AG$126,1),0),1,0))+IF(AH81=0,0,IF(AH81=IFERROR(LARGE(AH$7:AH$126,1),0),1,0))+IF(AI81=0,0,IF(AI81=IFERROR(LARGE(AI$7:AI$126,1),0),1,0))</f>
        <v>0</v>
      </c>
      <c r="AQ81" s="233"/>
      <c r="AR81" s="233"/>
      <c r="AS81" s="233"/>
      <c r="AT81" s="234">
        <f>SMALL(AU81:BD81,AT$3)</f>
        <v>0.0001</v>
      </c>
      <c r="AU81" s="235">
        <f>IF(Z81="  ",0+MID(Z$6,FIND("V",Z$6)+1,256)/10000,Z81+MID(Z$6,FIND("V",Z$6)+1,256)/10000)</f>
        <v>0.0001</v>
      </c>
      <c r="AV81" s="235">
        <f>IF(AA81="  ",0+MID(AA$6,FIND("V",AA$6)+1,256)/10000,AA81+MID(AA$6,FIND("V",AA$6)+1,256)/10000)</f>
        <v>0.0002</v>
      </c>
      <c r="AW81" s="235">
        <f>IF(AB81="  ",0+MID(AB$6,FIND("V",AB$6)+1,256)/10000,AB81+MID(AB$6,FIND("V",AB$6)+1,256)/10000)</f>
        <v>0.0003</v>
      </c>
      <c r="AX81" s="235">
        <f>IF(AC81="  ",0+MID(AC$6,FIND("V",AC$6)+1,256)/10000,AC81+MID(AC$6,FIND("V",AC$6)+1,256)/10000)</f>
        <v>0.0004</v>
      </c>
      <c r="AY81" s="235">
        <f>IF(AD81="  ",0+MID(AD$6,FIND("V",AD$6)+1,256)/10000,AD81+MID(AD$6,FIND("V",AD$6)+1,256)/10000)</f>
        <v>0.0005</v>
      </c>
      <c r="AZ81" s="235">
        <f>IF(AE81="  ",0+MID(AE$6,FIND("V",AE$6)+1,256)/10000,AE81+MID(AE$6,FIND("V",AE$6)+1,256)/10000)</f>
        <v>0.0006</v>
      </c>
      <c r="BA81" s="235">
        <f>IF(AF81="  ",0+MID(AF$6,FIND("V",AF$6)+1,256)/10000,AF81+MID(AF$6,FIND("V",AF$6)+1,256)/10000)</f>
        <v>0.0007</v>
      </c>
      <c r="BB81" s="235">
        <f>IF(AG81="  ",0+MID(AG$6,FIND("V",AG$6)+1,256)/10000,AG81+MID(AG$6,FIND("V",AG$6)+1,256)/10000)</f>
        <v>0.0008</v>
      </c>
      <c r="BC81" s="235">
        <f>IF(AH81="  ",0+MID(AH$6,FIND("V",AH$6)+1,256)/10000,AH81+MID(AH$6,FIND("V",AH$6)+1,256)/10000)</f>
        <v>0.0009</v>
      </c>
      <c r="BD81" s="235">
        <f>IF(AI81="  ",0+MID(AI$6,FIND("V",AI$6)+1,256)/10000,AI81+MID(AI$6,FIND("V",AI$6)+1,256)/10000)</f>
        <v>0.001</v>
      </c>
      <c r="BE81" s="233"/>
      <c r="BF81" s="233"/>
      <c r="BG81" s="233"/>
      <c r="BH81" s="233"/>
      <c r="BI81" s="3" t="e">
        <f>(LARGE(Z$7:Z$126,1)-Z81)/2+1</f>
        <v>#VALUE!</v>
      </c>
      <c r="BJ81" s="3" t="e">
        <f>(LARGE(AA$7:AA$126,1)-AA81)/2+1</f>
        <v>#VALUE!</v>
      </c>
      <c r="BK81" s="3" t="e">
        <f>(LARGE(AB$7:AB$126,1)-AB81)/2+1</f>
        <v>#VALUE!</v>
      </c>
      <c r="BL81" s="3" t="e">
        <f>(LARGE(AC$7:AC$126,1)-AC81)/2+1</f>
        <v>#VALUE!</v>
      </c>
      <c r="BM81" s="3" t="e">
        <f>(LARGE(AD$7:AD$126,1)-AD81)/2+1</f>
        <v>#VALUE!</v>
      </c>
      <c r="BN81" s="3" t="e">
        <f>(LARGE(AE$7:AE$126,1)-AE81)/2+1</f>
        <v>#VALUE!</v>
      </c>
      <c r="BO81" s="3" t="e">
        <f>(LARGE(AF$7:AF$126,1)-AF81)/2+1</f>
        <v>#VALUE!</v>
      </c>
      <c r="BP81" s="3" t="e">
        <f>(LARGE(AG$7:AG$126,1)-AG81)/2+1</f>
        <v>#VALUE!</v>
      </c>
      <c r="BQ81" s="3" t="e">
        <f>(LARGE(AH$7:AH$126,1)-AH81)/2+1</f>
        <v>#NUM!</v>
      </c>
      <c r="BR81" s="3" t="e">
        <f>(LARGE(AI$7:AI$126,1)-AI81)/2+1</f>
        <v>#NUM!</v>
      </c>
    </row>
    <row r="82" ht="12.75" hidden="1" customHeight="1" spans="1:70">
      <c r="A82" s="139" t="str">
        <f>IF(R82&gt;0,IF(Q82="Viru SK",RANK(B82,B$7:B$126,1)-COUNTIF((Q$7:Q$126),"&lt;&gt;Viru SK"),""),"")</f>
        <v/>
      </c>
      <c r="B82" s="140">
        <f>IF((Q82="Viru SK"),U82,U82-1000)</f>
        <v>120</v>
      </c>
      <c r="C82" s="141" t="str">
        <f>IF(R82&gt;0,IF(P82="t",RANK(D82,D$7:D$126,1)-COUNTBLANK(P$7:P$126),""),"")</f>
        <v/>
      </c>
      <c r="D82" s="142">
        <f>IF((P82="t"),U82,U82-1000)</f>
        <v>120</v>
      </c>
      <c r="E82" s="143" t="str">
        <f>IF(R82&gt;0,IF(N82="m",RANK(F82,F$7:F$126,1)-COUNTBLANK(N$7:N$126),""),"")</f>
        <v/>
      </c>
      <c r="F82" s="144">
        <f>IF((N82="m"),U82,U82-1000)</f>
        <v>120</v>
      </c>
      <c r="G82" s="145" t="str">
        <f>IF(R82&gt;0,IF(M82="n",RANK(H82,H$7:H$126,1)-COUNTBLANK(M$7:M$126),""),"")</f>
        <v/>
      </c>
      <c r="H82" s="144">
        <f>IF((M82="n"),U82,U82-1000)</f>
        <v>-880</v>
      </c>
      <c r="I82" s="160" t="str">
        <f>IF(R82&gt;0,IF(O82="j",RANK(J82,J$7:J$126,1)-COUNTBLANK(O$7:O$126),""),"")</f>
        <v/>
      </c>
      <c r="J82" s="161">
        <f>IF((O82="j"),U82,U82-1000)</f>
        <v>-880</v>
      </c>
      <c r="K82" s="162" t="str">
        <f>IF(R82&gt;0,RANK(U82,U$7:U$126,1),"")</f>
        <v/>
      </c>
      <c r="L82" s="163" t="s">
        <v>272</v>
      </c>
      <c r="M82" s="164"/>
      <c r="N82" s="165" t="str">
        <f>IF(M82="","m","")</f>
        <v>m</v>
      </c>
      <c r="O82" s="166"/>
      <c r="P82" s="167" t="s">
        <v>196</v>
      </c>
      <c r="Q82" s="192" t="s">
        <v>171</v>
      </c>
      <c r="R82" s="154">
        <f>(IF(COUNT(Z82,AA82,AB82,AC82,AD82,AE82,AF82,AG82,AH82,AI82)&lt;10,SUM(Z82,AA82,AB82,AC82,AD82,AE82,AF82,AG82,AH82,AI82),SUM(LARGE((Z82,AA82,AB82,AC82,AD82,AE82,AF82,AG82,AH82,AI82),{1;2;3;4;5;6;7;8;9}))))</f>
        <v>0</v>
      </c>
      <c r="S82" s="193" t="str">
        <f>INDEX(ETAPP!B$1:B$32,MATCH(COUNTIF(BI82:BR82,1),ETAPP!A$1:A$32,0))&amp;INDEX(ETAPP!B$1:B$32,MATCH(COUNTIF(BI82:BR82,2),ETAPP!A$1:A$32,0))&amp;INDEX(ETAPP!B$1:B$32,MATCH(COUNTIF(BI82:BR82,3),ETAPP!A$1:A$32,0))&amp;INDEX(ETAPP!B$1:B$32,MATCH(COUNTIF(BI82:BR82,4),ETAPP!A$1:A$32,0))&amp;INDEX(ETAPP!B$1:B$32,MATCH(COUNTIF(BI82:BR82,5),ETAPP!A$1:A$32,0))&amp;INDEX(ETAPP!B$1:B$32,MATCH(COUNTIF(BI82:BR82,6),ETAPP!A$1:A$32,0))&amp;INDEX(ETAPP!B$1:B$32,MATCH(COUNTIF(BI82:BR82,7),ETAPP!A$1:A$32,0))&amp;INDEX(ETAPP!B$1:B$32,MATCH(COUNTIF(BI82:BR82,8),ETAPP!A$1:A$32,0))&amp;INDEX(ETAPP!B$1:B$32,MATCH(COUNTIF(BI82:BR82,9),ETAPP!A$1:A$32,0))&amp;INDEX(ETAPP!B$1:B$32,MATCH(COUNTIF(BI82:BR82,10),ETAPP!A$1:A$32,0))&amp;INDEX(ETAPP!B$1:B$32,MATCH(COUNTIF(BI82:BR82,11),ETAPP!A$1:A$32,0))&amp;INDEX(ETAPP!B$1:B$32,MATCH(COUNTIF(BI82:BR82,12),ETAPP!A$1:A$32,0))&amp;INDEX(ETAPP!B$1:B$32,MATCH(COUNTIF(BI82:BR82,13),ETAPP!A$1:A$32,0))&amp;INDEX(ETAPP!B$1:B$32,MATCH(COUNTIF(BI82:BR82,14),ETAPP!A$1:A$32,0))&amp;INDEX(ETAPP!B$1:B$32,MATCH(COUNTIF(BI82:BR82,15),ETAPP!A$1:A$32,0))&amp;INDEX(ETAPP!B$1:B$32,MATCH(COUNTIF(BI82:BR82,16),ETAPP!A$1:A$32,0))&amp;INDEX(ETAPP!B$1:B$32,MATCH(COUNTIF(BI82:BR82,17),ETAPP!A$1:A$32,0))&amp;INDEX(ETAPP!B$1:B$32,MATCH(COUNTIF(BI82:BR82,18),ETAPP!A$1:A$32,0))&amp;INDEX(ETAPP!B$1:B$32,MATCH(COUNTIF(BI82:BR82,19),ETAPP!A$1:A$32,0))&amp;INDEX(ETAPP!B$1:B$32,MATCH(COUNTIF(BI82:BR82,20),ETAPP!A$1:A$32,0))&amp;INDEX(ETAPP!B$1:B$32,MATCH(COUNTIF(BI82:BR82,21),ETAPP!A$1:A$32,0))</f>
        <v>000000000000000000000</v>
      </c>
      <c r="T82" s="193" t="str">
        <f>TEXT(R82,"000,0")&amp;"-"&amp;S82</f>
        <v>000,0-000000000000000000000</v>
      </c>
      <c r="U82" s="193">
        <f>COUNTIF(T$7:T$126,"&gt;="&amp;T82)</f>
        <v>120</v>
      </c>
      <c r="V82" s="193">
        <f>COUNTIF(L$7:L$126,"&gt;="&amp;L82)</f>
        <v>87</v>
      </c>
      <c r="W82" s="193" t="str">
        <f>TEXT(R82,"000,0")&amp;"-"&amp;S82&amp;"-"&amp;TEXT(V82,"000")</f>
        <v>000,0-000000000000000000000-087</v>
      </c>
      <c r="X82" s="193">
        <f>COUNTIF(W$7:W$126,"&gt;="&amp;W82)</f>
        <v>76</v>
      </c>
      <c r="Y82" s="201">
        <f>RANK(X82,X$7:X$126,0)</f>
        <v>45</v>
      </c>
      <c r="Z82" s="202" t="str">
        <f>IFERROR(INDEX('V1'!C$300:C$400,MATCH("*"&amp;L82&amp;"*",'V1'!B$300:B$400,0)),"  ")</f>
        <v>  </v>
      </c>
      <c r="AA82" s="202" t="str">
        <f>IFERROR(INDEX('V2'!C$300:C$400,MATCH("*"&amp;L82&amp;"*",'V2'!B$300:B$400,0)),"  ")</f>
        <v>  </v>
      </c>
      <c r="AB82" s="202" t="str">
        <f>IFERROR(INDEX('V3'!C$300:C$400,MATCH("*"&amp;L82&amp;"*",'V3'!B$300:B$400,0)),"  ")</f>
        <v>  </v>
      </c>
      <c r="AC82" s="202" t="str">
        <f>IFERROR(INDEX('V4'!C$300:C$400,MATCH("*"&amp;L82&amp;"*",'V4'!B$300:B$400,0)),"  ")</f>
        <v>  </v>
      </c>
      <c r="AD82" s="202" t="str">
        <f>IFERROR(INDEX('V5'!C$300:C$400,MATCH("*"&amp;L82&amp;"*",'V5'!B$300:B$400,0)),"  ")</f>
        <v>  </v>
      </c>
      <c r="AE82" s="202" t="str">
        <f>IFERROR(INDEX('V6'!C$300:C$400,MATCH("*"&amp;L82&amp;"*",'V6'!B$300:B$400,0)),"  ")</f>
        <v>  </v>
      </c>
      <c r="AF82" s="202" t="str">
        <f>IFERROR(INDEX('V7'!C$300:C$400,MATCH("*"&amp;L82&amp;"*",'V7'!B$300:B$400,0)),"  ")</f>
        <v>  </v>
      </c>
      <c r="AG82" s="202" t="str">
        <f>IFERROR(INDEX('V8'!C$300:C$400,MATCH("*"&amp;L82&amp;"*",'V8'!B$300:B$400,0)),"  ")</f>
        <v>  </v>
      </c>
      <c r="AH82" s="202"/>
      <c r="AI82" s="202"/>
      <c r="AJ82" s="222" t="str">
        <f>IF(AN82&gt;(AT$2-1),K82,"")</f>
        <v/>
      </c>
      <c r="AK82" s="223">
        <f>SUM(Z82:AI82)</f>
        <v>0</v>
      </c>
      <c r="AL82" s="224" t="str">
        <f>IFERROR("edasi "&amp;RANK(AJ82,AJ$7:AJ$126,1),K82)</f>
        <v/>
      </c>
      <c r="AM82" s="225" t="str">
        <f>IFERROR(INDEX(#REF!,MATCH("*"&amp;L82&amp;"*",#REF!,0)),"  ")</f>
        <v>  </v>
      </c>
      <c r="AN82" s="226">
        <f>COUNTIF(Z82:AI82,"&gt;=0")</f>
        <v>0</v>
      </c>
      <c r="AO82" s="126">
        <f>IFERROR(IF(Z82+1&gt;LARGE(Z$7:Z$126,1)-2*LEN(Z$5),1),0)+IFERROR(IF(AA82+1&gt;LARGE(AA$7:AA$126,1)-2*LEN(AA$5),1),0)+IFERROR(IF(AB82+1&gt;LARGE(AB$7:AB$126,1)-2*LEN(AB$5),1),0)+IFERROR(IF(AC82+1&gt;LARGE(AC$7:AC$126,1)-2*LEN(AC$5),1),0)+IFERROR(IF(AD82+1&gt;LARGE(AD$7:AD$126,1)-2*LEN(AD$5),1),0)+IFERROR(IF(AE82+1&gt;LARGE(AE$7:AE$126,1)-2*LEN(AE$5),1),0)+IFERROR(IF(AF82+1&gt;LARGE(AF$7:AF$126,1)-2*LEN(AF$5),1),0)+IFERROR(IF(AG82+1&gt;LARGE(AG$7:AG$126,1)-2*LEN(AG$5),1),0)+IFERROR(IF(AH82+1&gt;LARGE(AH$7:AH$126,1)-2*LEN(AH$5),1),0)+IFERROR(IF(AI82+1&gt;LARGE(AI$7:AI$126,1)-2*LEN(AI$5),1),0)</f>
        <v>0</v>
      </c>
      <c r="AP82" s="126">
        <f>IF(Z82=0,0,IF(Z82=IFERROR(LARGE(Z$7:Z$126,1),0),1,0))+IF(AA82=0,0,IF(AA82=IFERROR(LARGE(AA$7:AA$126,1),0),1,0))+IF(AB82=0,0,IF(AB82=IFERROR(LARGE(AB$7:AB$126,1),0),1,0))+IF(AC82=0,0,IF(AC82=IFERROR(LARGE(AC$7:AC$126,1),0),1,0))+IF(AD82=0,0,IF(AD82=IFERROR(LARGE(AD$7:AD$126,1),0),1,0))+IF(AE82=0,0,IF(AE82=IFERROR(LARGE(AE$7:AE$126,1),0),1,0))+IF(AF82=0,0,IF(AF82=IFERROR(LARGE(AF$7:AF$126,1),0),1,0))+IF(AG82=0,0,IF(AG82=IFERROR(LARGE(AG$7:AG$126,1),0),1,0))+IF(AH82=0,0,IF(AH82=IFERROR(LARGE(AH$7:AH$126,1),0),1,0))+IF(AI82=0,0,IF(AI82=IFERROR(LARGE(AI$7:AI$126,1),0),1,0))</f>
        <v>0</v>
      </c>
      <c r="AQ82" s="233"/>
      <c r="AR82" s="233"/>
      <c r="AS82" s="233"/>
      <c r="AT82" s="234">
        <f>SMALL(AU82:BD82,AT$3)</f>
        <v>0.0001</v>
      </c>
      <c r="AU82" s="235">
        <f>IF(Z82="  ",0+MID(Z$6,FIND("V",Z$6)+1,256)/10000,Z82+MID(Z$6,FIND("V",Z$6)+1,256)/10000)</f>
        <v>0.0001</v>
      </c>
      <c r="AV82" s="235">
        <f>IF(AA82="  ",0+MID(AA$6,FIND("V",AA$6)+1,256)/10000,AA82+MID(AA$6,FIND("V",AA$6)+1,256)/10000)</f>
        <v>0.0002</v>
      </c>
      <c r="AW82" s="235">
        <f>IF(AB82="  ",0+MID(AB$6,FIND("V",AB$6)+1,256)/10000,AB82+MID(AB$6,FIND("V",AB$6)+1,256)/10000)</f>
        <v>0.0003</v>
      </c>
      <c r="AX82" s="235">
        <f>IF(AC82="  ",0+MID(AC$6,FIND("V",AC$6)+1,256)/10000,AC82+MID(AC$6,FIND("V",AC$6)+1,256)/10000)</f>
        <v>0.0004</v>
      </c>
      <c r="AY82" s="235">
        <f>IF(AD82="  ",0+MID(AD$6,FIND("V",AD$6)+1,256)/10000,AD82+MID(AD$6,FIND("V",AD$6)+1,256)/10000)</f>
        <v>0.0005</v>
      </c>
      <c r="AZ82" s="235">
        <f>IF(AE82="  ",0+MID(AE$6,FIND("V",AE$6)+1,256)/10000,AE82+MID(AE$6,FIND("V",AE$6)+1,256)/10000)</f>
        <v>0.0006</v>
      </c>
      <c r="BA82" s="235">
        <f>IF(AF82="  ",0+MID(AF$6,FIND("V",AF$6)+1,256)/10000,AF82+MID(AF$6,FIND("V",AF$6)+1,256)/10000)</f>
        <v>0.0007</v>
      </c>
      <c r="BB82" s="235">
        <f>IF(AG82="  ",0+MID(AG$6,FIND("V",AG$6)+1,256)/10000,AG82+MID(AG$6,FIND("V",AG$6)+1,256)/10000)</f>
        <v>0.0008</v>
      </c>
      <c r="BC82" s="235">
        <f>IF(AH82="  ",0+MID(AH$6,FIND("V",AH$6)+1,256)/10000,AH82+MID(AH$6,FIND("V",AH$6)+1,256)/10000)</f>
        <v>0.0009</v>
      </c>
      <c r="BD82" s="235">
        <f>IF(AI82="  ",0+MID(AI$6,FIND("V",AI$6)+1,256)/10000,AI82+MID(AI$6,FIND("V",AI$6)+1,256)/10000)</f>
        <v>0.001</v>
      </c>
      <c r="BE82" s="233"/>
      <c r="BF82" s="233"/>
      <c r="BG82" s="233"/>
      <c r="BH82" s="233"/>
      <c r="BI82" s="3" t="e">
        <f>(LARGE(Z$7:Z$126,1)-Z82)/2+1</f>
        <v>#VALUE!</v>
      </c>
      <c r="BJ82" s="3" t="e">
        <f>(LARGE(AA$7:AA$126,1)-AA82)/2+1</f>
        <v>#VALUE!</v>
      </c>
      <c r="BK82" s="3" t="e">
        <f>(LARGE(AB$7:AB$126,1)-AB82)/2+1</f>
        <v>#VALUE!</v>
      </c>
      <c r="BL82" s="3" t="e">
        <f>(LARGE(AC$7:AC$126,1)-AC82)/2+1</f>
        <v>#VALUE!</v>
      </c>
      <c r="BM82" s="3" t="e">
        <f>(LARGE(AD$7:AD$126,1)-AD82)/2+1</f>
        <v>#VALUE!</v>
      </c>
      <c r="BN82" s="3" t="e">
        <f>(LARGE(AE$7:AE$126,1)-AE82)/2+1</f>
        <v>#VALUE!</v>
      </c>
      <c r="BO82" s="3" t="e">
        <f>(LARGE(AF$7:AF$126,1)-AF82)/2+1</f>
        <v>#VALUE!</v>
      </c>
      <c r="BP82" s="3" t="e">
        <f>(LARGE(AG$7:AG$126,1)-AG82)/2+1</f>
        <v>#VALUE!</v>
      </c>
      <c r="BQ82" s="3" t="e">
        <f>(LARGE(AH$7:AH$126,1)-AH82)/2+1</f>
        <v>#NUM!</v>
      </c>
      <c r="BR82" s="3" t="e">
        <f>(LARGE(AI$7:AI$126,1)-AI82)/2+1</f>
        <v>#NUM!</v>
      </c>
    </row>
    <row r="83" ht="12.75" hidden="1" customHeight="1" spans="1:70">
      <c r="A83" s="139" t="str">
        <f>IF(R83&gt;0,IF(Q83="Viru SK",RANK(B83,B$7:B$126,1)-COUNTIF((Q$7:Q$126),"&lt;&gt;Viru SK"),""),"")</f>
        <v/>
      </c>
      <c r="B83" s="140">
        <f>IF((Q83="Viru SK"),U83,U83-1000)</f>
        <v>-880</v>
      </c>
      <c r="C83" s="141" t="str">
        <f>IF(R83&gt;0,IF(P83="t",RANK(D83,D$7:D$126,1)-COUNTBLANK(P$7:P$126),""),"")</f>
        <v/>
      </c>
      <c r="D83" s="142">
        <f>IF((P83="t"),U83,U83-1000)</f>
        <v>-880</v>
      </c>
      <c r="E83" s="143" t="str">
        <f>IF(R83&gt;0,IF(N83="m",RANK(F83,F$7:F$126,1)-COUNTBLANK(N$7:N$126),""),"")</f>
        <v/>
      </c>
      <c r="F83" s="144">
        <f>IF((N83="m"),U83,U83-1000)</f>
        <v>-880</v>
      </c>
      <c r="G83" s="145" t="str">
        <f>IF(R83&gt;0,IF(M83="n",RANK(H83,H$7:H$126,1)-COUNTBLANK(M$7:M$126),""),"")</f>
        <v/>
      </c>
      <c r="H83" s="144">
        <f>IF((M83="n"),U83,U83-1000)</f>
        <v>120</v>
      </c>
      <c r="I83" s="160" t="str">
        <f>IF(R83&gt;0,IF(O83="j",RANK(J83,J$7:J$126,1)-COUNTBLANK(O$7:O$126),""),"")</f>
        <v/>
      </c>
      <c r="J83" s="161">
        <f>IF((O83="j"),U83,U83-1000)</f>
        <v>-880</v>
      </c>
      <c r="K83" s="162" t="str">
        <f>IF(R83&gt;0,RANK(U83,U$7:U$126,1),"")</f>
        <v/>
      </c>
      <c r="L83" s="163" t="s">
        <v>273</v>
      </c>
      <c r="M83" s="164" t="s">
        <v>203</v>
      </c>
      <c r="N83" s="165"/>
      <c r="O83" s="166"/>
      <c r="P83" s="167"/>
      <c r="Q83" s="192" t="s">
        <v>274</v>
      </c>
      <c r="R83" s="154">
        <f>(IF(COUNT(Z83,AA83,AB83,AC83,AD83,AE83,AF83,AG83,AH83,AI83)&lt;10,SUM(Z83,AA83,AB83,AC83,AD83,AE83,AF83,AG83,AH83,AI83),SUM(LARGE((Z83,AA83,AB83,AC83,AD83,AE83,AF83,AG83,AH83,AI83),{1;2;3;4;5;6;7;8;9}))))</f>
        <v>0</v>
      </c>
      <c r="S83" s="193" t="str">
        <f>INDEX(ETAPP!B$1:B$32,MATCH(COUNTIF(BI83:BR83,1),ETAPP!A$1:A$32,0))&amp;INDEX(ETAPP!B$1:B$32,MATCH(COUNTIF(BI83:BR83,2),ETAPP!A$1:A$32,0))&amp;INDEX(ETAPP!B$1:B$32,MATCH(COUNTIF(BI83:BR83,3),ETAPP!A$1:A$32,0))&amp;INDEX(ETAPP!B$1:B$32,MATCH(COUNTIF(BI83:BR83,4),ETAPP!A$1:A$32,0))&amp;INDEX(ETAPP!B$1:B$32,MATCH(COUNTIF(BI83:BR83,5),ETAPP!A$1:A$32,0))&amp;INDEX(ETAPP!B$1:B$32,MATCH(COUNTIF(BI83:BR83,6),ETAPP!A$1:A$32,0))&amp;INDEX(ETAPP!B$1:B$32,MATCH(COUNTIF(BI83:BR83,7),ETAPP!A$1:A$32,0))&amp;INDEX(ETAPP!B$1:B$32,MATCH(COUNTIF(BI83:BR83,8),ETAPP!A$1:A$32,0))&amp;INDEX(ETAPP!B$1:B$32,MATCH(COUNTIF(BI83:BR83,9),ETAPP!A$1:A$32,0))&amp;INDEX(ETAPP!B$1:B$32,MATCH(COUNTIF(BI83:BR83,10),ETAPP!A$1:A$32,0))&amp;INDEX(ETAPP!B$1:B$32,MATCH(COUNTIF(BI83:BR83,11),ETAPP!A$1:A$32,0))&amp;INDEX(ETAPP!B$1:B$32,MATCH(COUNTIF(BI83:BR83,12),ETAPP!A$1:A$32,0))&amp;INDEX(ETAPP!B$1:B$32,MATCH(COUNTIF(BI83:BR83,13),ETAPP!A$1:A$32,0))&amp;INDEX(ETAPP!B$1:B$32,MATCH(COUNTIF(BI83:BR83,14),ETAPP!A$1:A$32,0))&amp;INDEX(ETAPP!B$1:B$32,MATCH(COUNTIF(BI83:BR83,15),ETAPP!A$1:A$32,0))&amp;INDEX(ETAPP!B$1:B$32,MATCH(COUNTIF(BI83:BR83,16),ETAPP!A$1:A$32,0))&amp;INDEX(ETAPP!B$1:B$32,MATCH(COUNTIF(BI83:BR83,17),ETAPP!A$1:A$32,0))&amp;INDEX(ETAPP!B$1:B$32,MATCH(COUNTIF(BI83:BR83,18),ETAPP!A$1:A$32,0))&amp;INDEX(ETAPP!B$1:B$32,MATCH(COUNTIF(BI83:BR83,19),ETAPP!A$1:A$32,0))&amp;INDEX(ETAPP!B$1:B$32,MATCH(COUNTIF(BI83:BR83,20),ETAPP!A$1:A$32,0))&amp;INDEX(ETAPP!B$1:B$32,MATCH(COUNTIF(BI83:BR83,21),ETAPP!A$1:A$32,0))</f>
        <v>000000000000000000000</v>
      </c>
      <c r="T83" s="193" t="str">
        <f>TEXT(R83,"000,0")&amp;"-"&amp;S83</f>
        <v>000,0-000000000000000000000</v>
      </c>
      <c r="U83" s="193">
        <f>COUNTIF(T$7:T$126,"&gt;="&amp;T83)</f>
        <v>120</v>
      </c>
      <c r="V83" s="193">
        <f>COUNTIF(L$7:L$126,"&gt;="&amp;L83)</f>
        <v>86</v>
      </c>
      <c r="W83" s="193" t="str">
        <f>TEXT(R83,"000,0")&amp;"-"&amp;S83&amp;"-"&amp;TEXT(V83,"000")</f>
        <v>000,0-000000000000000000000-086</v>
      </c>
      <c r="X83" s="193">
        <f>COUNTIF(W$7:W$126,"&gt;="&amp;W83)</f>
        <v>77</v>
      </c>
      <c r="Y83" s="201">
        <f>RANK(X83,X$7:X$126,0)</f>
        <v>44</v>
      </c>
      <c r="Z83" s="202" t="str">
        <f>IFERROR(INDEX('V1'!C$300:C$400,MATCH("*"&amp;L83&amp;"*",'V1'!B$300:B$400,0)),"  ")</f>
        <v>  </v>
      </c>
      <c r="AA83" s="202" t="str">
        <f>IFERROR(INDEX('V2'!C$300:C$400,MATCH("*"&amp;L83&amp;"*",'V2'!B$300:B$400,0)),"  ")</f>
        <v>  </v>
      </c>
      <c r="AB83" s="202" t="str">
        <f>IFERROR(INDEX('V3'!C$300:C$400,MATCH("*"&amp;L83&amp;"*",'V3'!B$300:B$400,0)),"  ")</f>
        <v>  </v>
      </c>
      <c r="AC83" s="202" t="str">
        <f>IFERROR(INDEX('V4'!C$300:C$400,MATCH("*"&amp;L83&amp;"*",'V4'!B$300:B$400,0)),"  ")</f>
        <v>  </v>
      </c>
      <c r="AD83" s="202" t="str">
        <f>IFERROR(INDEX('V5'!C$300:C$400,MATCH("*"&amp;L83&amp;"*",'V5'!B$300:B$400,0)),"  ")</f>
        <v>  </v>
      </c>
      <c r="AE83" s="202" t="str">
        <f>IFERROR(INDEX('V6'!C$300:C$400,MATCH("*"&amp;L83&amp;"*",'V6'!B$300:B$400,0)),"  ")</f>
        <v>  </v>
      </c>
      <c r="AF83" s="202" t="str">
        <f>IFERROR(INDEX('V7'!C$300:C$400,MATCH("*"&amp;L83&amp;"*",'V7'!B$300:B$400,0)),"  ")</f>
        <v>  </v>
      </c>
      <c r="AG83" s="202" t="str">
        <f>IFERROR(INDEX('V8'!C$300:C$400,MATCH("*"&amp;L83&amp;"*",'V8'!B$300:B$400,0)),"  ")</f>
        <v>  </v>
      </c>
      <c r="AH83" s="202"/>
      <c r="AI83" s="202"/>
      <c r="AJ83" s="222" t="str">
        <f>IF(AN83&gt;(AT$2-1),K83,"")</f>
        <v/>
      </c>
      <c r="AK83" s="223">
        <f>SUM(Z83:AI83)</f>
        <v>0</v>
      </c>
      <c r="AL83" s="224" t="str">
        <f>IFERROR("edasi "&amp;RANK(AJ83,AJ$7:AJ$126,1),K83)</f>
        <v/>
      </c>
      <c r="AM83" s="225" t="str">
        <f>IFERROR(INDEX(#REF!,MATCH("*"&amp;L83&amp;"*",#REF!,0)),"  ")</f>
        <v>  </v>
      </c>
      <c r="AN83" s="226">
        <f>COUNTIF(Z83:AI83,"&gt;=0")</f>
        <v>0</v>
      </c>
      <c r="AO83" s="126">
        <f>IFERROR(IF(Z83+1&gt;LARGE(Z$7:Z$126,1)-2*LEN(Z$5),1),0)+IFERROR(IF(AA83+1&gt;LARGE(AA$7:AA$126,1)-2*LEN(AA$5),1),0)+IFERROR(IF(AB83+1&gt;LARGE(AB$7:AB$126,1)-2*LEN(AB$5),1),0)+IFERROR(IF(AC83+1&gt;LARGE(AC$7:AC$126,1)-2*LEN(AC$5),1),0)+IFERROR(IF(AD83+1&gt;LARGE(AD$7:AD$126,1)-2*LEN(AD$5),1),0)+IFERROR(IF(AE83+1&gt;LARGE(AE$7:AE$126,1)-2*LEN(AE$5),1),0)+IFERROR(IF(AF83+1&gt;LARGE(AF$7:AF$126,1)-2*LEN(AF$5),1),0)+IFERROR(IF(AG83+1&gt;LARGE(AG$7:AG$126,1)-2*LEN(AG$5),1),0)+IFERROR(IF(AH83+1&gt;LARGE(AH$7:AH$126,1)-2*LEN(AH$5),1),0)+IFERROR(IF(AI83+1&gt;LARGE(AI$7:AI$126,1)-2*LEN(AI$5),1),0)</f>
        <v>0</v>
      </c>
      <c r="AP83" s="126">
        <f>IF(Z83=0,0,IF(Z83=IFERROR(LARGE(Z$7:Z$126,1),0),1,0))+IF(AA83=0,0,IF(AA83=IFERROR(LARGE(AA$7:AA$126,1),0),1,0))+IF(AB83=0,0,IF(AB83=IFERROR(LARGE(AB$7:AB$126,1),0),1,0))+IF(AC83=0,0,IF(AC83=IFERROR(LARGE(AC$7:AC$126,1),0),1,0))+IF(AD83=0,0,IF(AD83=IFERROR(LARGE(AD$7:AD$126,1),0),1,0))+IF(AE83=0,0,IF(AE83=IFERROR(LARGE(AE$7:AE$126,1),0),1,0))+IF(AF83=0,0,IF(AF83=IFERROR(LARGE(AF$7:AF$126,1),0),1,0))+IF(AG83=0,0,IF(AG83=IFERROR(LARGE(AG$7:AG$126,1),0),1,0))+IF(AH83=0,0,IF(AH83=IFERROR(LARGE(AH$7:AH$126,1),0),1,0))+IF(AI83=0,0,IF(AI83=IFERROR(LARGE(AI$7:AI$126,1),0),1,0))</f>
        <v>0</v>
      </c>
      <c r="AQ83" s="233"/>
      <c r="AR83" s="233"/>
      <c r="AS83" s="233"/>
      <c r="AT83" s="234">
        <f>SMALL(AU83:BD83,AT$3)</f>
        <v>0.0001</v>
      </c>
      <c r="AU83" s="235">
        <f>IF(Z83="  ",0+MID(Z$6,FIND("V",Z$6)+1,256)/10000,Z83+MID(Z$6,FIND("V",Z$6)+1,256)/10000)</f>
        <v>0.0001</v>
      </c>
      <c r="AV83" s="235">
        <f>IF(AA83="  ",0+MID(AA$6,FIND("V",AA$6)+1,256)/10000,AA83+MID(AA$6,FIND("V",AA$6)+1,256)/10000)</f>
        <v>0.0002</v>
      </c>
      <c r="AW83" s="235">
        <f>IF(AB83="  ",0+MID(AB$6,FIND("V",AB$6)+1,256)/10000,AB83+MID(AB$6,FIND("V",AB$6)+1,256)/10000)</f>
        <v>0.0003</v>
      </c>
      <c r="AX83" s="235">
        <f>IF(AC83="  ",0+MID(AC$6,FIND("V",AC$6)+1,256)/10000,AC83+MID(AC$6,FIND("V",AC$6)+1,256)/10000)</f>
        <v>0.0004</v>
      </c>
      <c r="AY83" s="235">
        <f>IF(AD83="  ",0+MID(AD$6,FIND("V",AD$6)+1,256)/10000,AD83+MID(AD$6,FIND("V",AD$6)+1,256)/10000)</f>
        <v>0.0005</v>
      </c>
      <c r="AZ83" s="235">
        <f>IF(AE83="  ",0+MID(AE$6,FIND("V",AE$6)+1,256)/10000,AE83+MID(AE$6,FIND("V",AE$6)+1,256)/10000)</f>
        <v>0.0006</v>
      </c>
      <c r="BA83" s="235">
        <f>IF(AF83="  ",0+MID(AF$6,FIND("V",AF$6)+1,256)/10000,AF83+MID(AF$6,FIND("V",AF$6)+1,256)/10000)</f>
        <v>0.0007</v>
      </c>
      <c r="BB83" s="235">
        <f>IF(AG83="  ",0+MID(AG$6,FIND("V",AG$6)+1,256)/10000,AG83+MID(AG$6,FIND("V",AG$6)+1,256)/10000)</f>
        <v>0.0008</v>
      </c>
      <c r="BC83" s="235">
        <f>IF(AH83="  ",0+MID(AH$6,FIND("V",AH$6)+1,256)/10000,AH83+MID(AH$6,FIND("V",AH$6)+1,256)/10000)</f>
        <v>0.0009</v>
      </c>
      <c r="BD83" s="235">
        <f>IF(AI83="  ",0+MID(AI$6,FIND("V",AI$6)+1,256)/10000,AI83+MID(AI$6,FIND("V",AI$6)+1,256)/10000)</f>
        <v>0.001</v>
      </c>
      <c r="BE83" s="233"/>
      <c r="BF83" s="233"/>
      <c r="BG83" s="233"/>
      <c r="BH83" s="233"/>
      <c r="BI83" s="3" t="e">
        <f>(LARGE(Z$7:Z$126,1)-Z83)/2+1</f>
        <v>#VALUE!</v>
      </c>
      <c r="BJ83" s="3" t="e">
        <f>(LARGE(AA$7:AA$126,1)-AA83)/2+1</f>
        <v>#VALUE!</v>
      </c>
      <c r="BK83" s="3" t="e">
        <f>(LARGE(AB$7:AB$126,1)-AB83)/2+1</f>
        <v>#VALUE!</v>
      </c>
      <c r="BL83" s="3" t="e">
        <f>(LARGE(AC$7:AC$126,1)-AC83)/2+1</f>
        <v>#VALUE!</v>
      </c>
      <c r="BM83" s="3" t="e">
        <f>(LARGE(AD$7:AD$126,1)-AD83)/2+1</f>
        <v>#VALUE!</v>
      </c>
      <c r="BN83" s="3" t="e">
        <f>(LARGE(AE$7:AE$126,1)-AE83)/2+1</f>
        <v>#VALUE!</v>
      </c>
      <c r="BO83" s="3" t="e">
        <f>(LARGE(AF$7:AF$126,1)-AF83)/2+1</f>
        <v>#VALUE!</v>
      </c>
      <c r="BP83" s="3" t="e">
        <f>(LARGE(AG$7:AG$126,1)-AG83)/2+1</f>
        <v>#VALUE!</v>
      </c>
      <c r="BQ83" s="3" t="e">
        <f>(LARGE(AH$7:AH$126,1)-AH83)/2+1</f>
        <v>#NUM!</v>
      </c>
      <c r="BR83" s="3" t="e">
        <f>(LARGE(AI$7:AI$126,1)-AI83)/2+1</f>
        <v>#NUM!</v>
      </c>
    </row>
    <row r="84" ht="12.75" hidden="1" customHeight="1" spans="1:70">
      <c r="A84" s="139" t="str">
        <f>IF(R84&gt;0,IF(Q84="Viru SK",RANK(B84,B$7:B$126,1)-COUNTIF((Q$7:Q$126),"&lt;&gt;Viru SK"),""),"")</f>
        <v/>
      </c>
      <c r="B84" s="140">
        <f>IF((Q84="Viru SK"),U84,U84-1000)</f>
        <v>120</v>
      </c>
      <c r="C84" s="141" t="str">
        <f>IF(R84&gt;0,IF(P84="t",RANK(D84,D$7:D$126,1)-COUNTBLANK(P$7:P$126),""),"")</f>
        <v/>
      </c>
      <c r="D84" s="142">
        <f>IF((P84="t"),U84,U84-1000)</f>
        <v>120</v>
      </c>
      <c r="E84" s="143" t="str">
        <f>IF(R84&gt;0,IF(N84="m",RANK(F84,F$7:F$126,1)-COUNTBLANK(N$7:N$126),""),"")</f>
        <v/>
      </c>
      <c r="F84" s="144">
        <f>IF((N84="m"),U84,U84-1000)</f>
        <v>120</v>
      </c>
      <c r="G84" s="145" t="str">
        <f>IF(R84&gt;0,IF(M84="n",RANK(H84,H$7:H$126,1)-COUNTBLANK(M$7:M$126),""),"")</f>
        <v/>
      </c>
      <c r="H84" s="144">
        <f>IF((M84="n"),U84,U84-1000)</f>
        <v>-880</v>
      </c>
      <c r="I84" s="160" t="str">
        <f>IF(R84&gt;0,IF(O84="j",RANK(J84,J$7:J$126,1)-COUNTBLANK(O$7:O$126),""),"")</f>
        <v/>
      </c>
      <c r="J84" s="161">
        <f>IF((O84="j"),U84,U84-1000)</f>
        <v>-880</v>
      </c>
      <c r="K84" s="162" t="str">
        <f>IF(R84&gt;0,RANK(U84,U$7:U$126,1),"")</f>
        <v/>
      </c>
      <c r="L84" s="163" t="s">
        <v>275</v>
      </c>
      <c r="M84" s="164"/>
      <c r="N84" s="165" t="str">
        <f>IF(M84="","m","")</f>
        <v>m</v>
      </c>
      <c r="O84" s="166"/>
      <c r="P84" s="167" t="s">
        <v>196</v>
      </c>
      <c r="Q84" s="192" t="s">
        <v>171</v>
      </c>
      <c r="R84" s="154">
        <f>(IF(COUNT(Z84,AA84,AB84,AC84,AD84,AE84,AF84,AG84,AH84,AI84)&lt;10,SUM(Z84,AA84,AB84,AC84,AD84,AE84,AF84,AG84,AH84,AI84),SUM(LARGE((Z84,AA84,AB84,AC84,AD84,AE84,AF84,AG84,AH84,AI84),{1;2;3;4;5;6;7;8;9}))))</f>
        <v>0</v>
      </c>
      <c r="S84" s="193" t="str">
        <f>INDEX(ETAPP!B$1:B$32,MATCH(COUNTIF(BI84:BR84,1),ETAPP!A$1:A$32,0))&amp;INDEX(ETAPP!B$1:B$32,MATCH(COUNTIF(BI84:BR84,2),ETAPP!A$1:A$32,0))&amp;INDEX(ETAPP!B$1:B$32,MATCH(COUNTIF(BI84:BR84,3),ETAPP!A$1:A$32,0))&amp;INDEX(ETAPP!B$1:B$32,MATCH(COUNTIF(BI84:BR84,4),ETAPP!A$1:A$32,0))&amp;INDEX(ETAPP!B$1:B$32,MATCH(COUNTIF(BI84:BR84,5),ETAPP!A$1:A$32,0))&amp;INDEX(ETAPP!B$1:B$32,MATCH(COUNTIF(BI84:BR84,6),ETAPP!A$1:A$32,0))&amp;INDEX(ETAPP!B$1:B$32,MATCH(COUNTIF(BI84:BR84,7),ETAPP!A$1:A$32,0))&amp;INDEX(ETAPP!B$1:B$32,MATCH(COUNTIF(BI84:BR84,8),ETAPP!A$1:A$32,0))&amp;INDEX(ETAPP!B$1:B$32,MATCH(COUNTIF(BI84:BR84,9),ETAPP!A$1:A$32,0))&amp;INDEX(ETAPP!B$1:B$32,MATCH(COUNTIF(BI84:BR84,10),ETAPP!A$1:A$32,0))&amp;INDEX(ETAPP!B$1:B$32,MATCH(COUNTIF(BI84:BR84,11),ETAPP!A$1:A$32,0))&amp;INDEX(ETAPP!B$1:B$32,MATCH(COUNTIF(BI84:BR84,12),ETAPP!A$1:A$32,0))&amp;INDEX(ETAPP!B$1:B$32,MATCH(COUNTIF(BI84:BR84,13),ETAPP!A$1:A$32,0))&amp;INDEX(ETAPP!B$1:B$32,MATCH(COUNTIF(BI84:BR84,14),ETAPP!A$1:A$32,0))&amp;INDEX(ETAPP!B$1:B$32,MATCH(COUNTIF(BI84:BR84,15),ETAPP!A$1:A$32,0))&amp;INDEX(ETAPP!B$1:B$32,MATCH(COUNTIF(BI84:BR84,16),ETAPP!A$1:A$32,0))&amp;INDEX(ETAPP!B$1:B$32,MATCH(COUNTIF(BI84:BR84,17),ETAPP!A$1:A$32,0))&amp;INDEX(ETAPP!B$1:B$32,MATCH(COUNTIF(BI84:BR84,18),ETAPP!A$1:A$32,0))&amp;INDEX(ETAPP!B$1:B$32,MATCH(COUNTIF(BI84:BR84,19),ETAPP!A$1:A$32,0))&amp;INDEX(ETAPP!B$1:B$32,MATCH(COUNTIF(BI84:BR84,20),ETAPP!A$1:A$32,0))&amp;INDEX(ETAPP!B$1:B$32,MATCH(COUNTIF(BI84:BR84,21),ETAPP!A$1:A$32,0))</f>
        <v>000000000000000000000</v>
      </c>
      <c r="T84" s="193" t="str">
        <f>TEXT(R84,"000,0")&amp;"-"&amp;S84</f>
        <v>000,0-000000000000000000000</v>
      </c>
      <c r="U84" s="193">
        <f>COUNTIF(T$7:T$126,"&gt;="&amp;T84)</f>
        <v>120</v>
      </c>
      <c r="V84" s="193">
        <f>COUNTIF(L$7:L$126,"&gt;="&amp;L84)</f>
        <v>81</v>
      </c>
      <c r="W84" s="193" t="str">
        <f>TEXT(R84,"000,0")&amp;"-"&amp;S84&amp;"-"&amp;TEXT(V84,"000")</f>
        <v>000,0-000000000000000000000-081</v>
      </c>
      <c r="X84" s="193">
        <f>COUNTIF(W$7:W$126,"&gt;="&amp;W84)</f>
        <v>78</v>
      </c>
      <c r="Y84" s="201">
        <f>RANK(X84,X$7:X$126,0)</f>
        <v>43</v>
      </c>
      <c r="Z84" s="202" t="str">
        <f>IFERROR(INDEX('V1'!C$300:C$400,MATCH("*"&amp;L84&amp;"*",'V1'!B$300:B$400,0)),"  ")</f>
        <v>  </v>
      </c>
      <c r="AA84" s="202" t="str">
        <f>IFERROR(INDEX('V2'!C$300:C$400,MATCH("*"&amp;L84&amp;"*",'V2'!B$300:B$400,0)),"  ")</f>
        <v>  </v>
      </c>
      <c r="AB84" s="202" t="str">
        <f>IFERROR(INDEX('V3'!C$300:C$400,MATCH("*"&amp;L84&amp;"*",'V3'!B$300:B$400,0)),"  ")</f>
        <v>  </v>
      </c>
      <c r="AC84" s="202" t="str">
        <f>IFERROR(INDEX('V4'!C$300:C$400,MATCH("*"&amp;L84&amp;"*",'V4'!B$300:B$400,0)),"  ")</f>
        <v>  </v>
      </c>
      <c r="AD84" s="202" t="str">
        <f>IFERROR(INDEX('V5'!C$300:C$400,MATCH("*"&amp;L84&amp;"*",'V5'!B$300:B$400,0)),"  ")</f>
        <v>  </v>
      </c>
      <c r="AE84" s="202" t="str">
        <f>IFERROR(INDEX('V6'!C$300:C$400,MATCH("*"&amp;L84&amp;"*",'V6'!B$300:B$400,0)),"  ")</f>
        <v>  </v>
      </c>
      <c r="AF84" s="202" t="str">
        <f>IFERROR(INDEX('V7'!C$300:C$400,MATCH("*"&amp;L84&amp;"*",'V7'!B$300:B$400,0)),"  ")</f>
        <v>  </v>
      </c>
      <c r="AG84" s="202" t="str">
        <f>IFERROR(INDEX('V8'!C$300:C$400,MATCH("*"&amp;L84&amp;"*",'V8'!B$300:B$400,0)),"  ")</f>
        <v>  </v>
      </c>
      <c r="AH84" s="202"/>
      <c r="AI84" s="202"/>
      <c r="AJ84" s="222" t="str">
        <f>IF(AN84&gt;(AT$2-1),K84,"")</f>
        <v/>
      </c>
      <c r="AK84" s="223">
        <f>SUM(Z84:AI84)</f>
        <v>0</v>
      </c>
      <c r="AL84" s="224" t="str">
        <f>IFERROR("edasi "&amp;RANK(AJ84,AJ$7:AJ$126,1),K84)</f>
        <v/>
      </c>
      <c r="AM84" s="225" t="str">
        <f>IFERROR(INDEX(#REF!,MATCH("*"&amp;L84&amp;"*",#REF!,0)),"  ")</f>
        <v>  </v>
      </c>
      <c r="AN84" s="226">
        <f>COUNTIF(Z84:AI84,"&gt;=0")</f>
        <v>0</v>
      </c>
      <c r="AO84" s="126">
        <f>IFERROR(IF(Z84+1&gt;LARGE(Z$7:Z$126,1)-2*LEN(Z$5),1),0)+IFERROR(IF(AA84+1&gt;LARGE(AA$7:AA$126,1)-2*LEN(AA$5),1),0)+IFERROR(IF(AB84+1&gt;LARGE(AB$7:AB$126,1)-2*LEN(AB$5),1),0)+IFERROR(IF(AC84+1&gt;LARGE(AC$7:AC$126,1)-2*LEN(AC$5),1),0)+IFERROR(IF(AD84+1&gt;LARGE(AD$7:AD$126,1)-2*LEN(AD$5),1),0)+IFERROR(IF(AE84+1&gt;LARGE(AE$7:AE$126,1)-2*LEN(AE$5),1),0)+IFERROR(IF(AF84+1&gt;LARGE(AF$7:AF$126,1)-2*LEN(AF$5),1),0)+IFERROR(IF(AG84+1&gt;LARGE(AG$7:AG$126,1)-2*LEN(AG$5),1),0)+IFERROR(IF(AH84+1&gt;LARGE(AH$7:AH$126,1)-2*LEN(AH$5),1),0)+IFERROR(IF(AI84+1&gt;LARGE(AI$7:AI$126,1)-2*LEN(AI$5),1),0)</f>
        <v>0</v>
      </c>
      <c r="AP84" s="126">
        <f>IF(Z84=0,0,IF(Z84=IFERROR(LARGE(Z$7:Z$126,1),0),1,0))+IF(AA84=0,0,IF(AA84=IFERROR(LARGE(AA$7:AA$126,1),0),1,0))+IF(AB84=0,0,IF(AB84=IFERROR(LARGE(AB$7:AB$126,1),0),1,0))+IF(AC84=0,0,IF(AC84=IFERROR(LARGE(AC$7:AC$126,1),0),1,0))+IF(AD84=0,0,IF(AD84=IFERROR(LARGE(AD$7:AD$126,1),0),1,0))+IF(AE84=0,0,IF(AE84=IFERROR(LARGE(AE$7:AE$126,1),0),1,0))+IF(AF84=0,0,IF(AF84=IFERROR(LARGE(AF$7:AF$126,1),0),1,0))+IF(AG84=0,0,IF(AG84=IFERROR(LARGE(AG$7:AG$126,1),0),1,0))+IF(AH84=0,0,IF(AH84=IFERROR(LARGE(AH$7:AH$126,1),0),1,0))+IF(AI84=0,0,IF(AI84=IFERROR(LARGE(AI$7:AI$126,1),0),1,0))</f>
        <v>0</v>
      </c>
      <c r="AQ84" s="233"/>
      <c r="AR84" s="233"/>
      <c r="AS84" s="233"/>
      <c r="AT84" s="234">
        <f>SMALL(AU84:BD84,AT$3)</f>
        <v>0.0001</v>
      </c>
      <c r="AU84" s="235">
        <f>IF(Z84="  ",0+MID(Z$6,FIND("V",Z$6)+1,256)/10000,Z84+MID(Z$6,FIND("V",Z$6)+1,256)/10000)</f>
        <v>0.0001</v>
      </c>
      <c r="AV84" s="235">
        <f>IF(AA84="  ",0+MID(AA$6,FIND("V",AA$6)+1,256)/10000,AA84+MID(AA$6,FIND("V",AA$6)+1,256)/10000)</f>
        <v>0.0002</v>
      </c>
      <c r="AW84" s="235">
        <f>IF(AB84="  ",0+MID(AB$6,FIND("V",AB$6)+1,256)/10000,AB84+MID(AB$6,FIND("V",AB$6)+1,256)/10000)</f>
        <v>0.0003</v>
      </c>
      <c r="AX84" s="235">
        <f>IF(AC84="  ",0+MID(AC$6,FIND("V",AC$6)+1,256)/10000,AC84+MID(AC$6,FIND("V",AC$6)+1,256)/10000)</f>
        <v>0.0004</v>
      </c>
      <c r="AY84" s="235">
        <f>IF(AD84="  ",0+MID(AD$6,FIND("V",AD$6)+1,256)/10000,AD84+MID(AD$6,FIND("V",AD$6)+1,256)/10000)</f>
        <v>0.0005</v>
      </c>
      <c r="AZ84" s="235">
        <f>IF(AE84="  ",0+MID(AE$6,FIND("V",AE$6)+1,256)/10000,AE84+MID(AE$6,FIND("V",AE$6)+1,256)/10000)</f>
        <v>0.0006</v>
      </c>
      <c r="BA84" s="235">
        <f>IF(AF84="  ",0+MID(AF$6,FIND("V",AF$6)+1,256)/10000,AF84+MID(AF$6,FIND("V",AF$6)+1,256)/10000)</f>
        <v>0.0007</v>
      </c>
      <c r="BB84" s="235">
        <f>IF(AG84="  ",0+MID(AG$6,FIND("V",AG$6)+1,256)/10000,AG84+MID(AG$6,FIND("V",AG$6)+1,256)/10000)</f>
        <v>0.0008</v>
      </c>
      <c r="BC84" s="235">
        <f>IF(AH84="  ",0+MID(AH$6,FIND("V",AH$6)+1,256)/10000,AH84+MID(AH$6,FIND("V",AH$6)+1,256)/10000)</f>
        <v>0.0009</v>
      </c>
      <c r="BD84" s="235">
        <f>IF(AI84="  ",0+MID(AI$6,FIND("V",AI$6)+1,256)/10000,AI84+MID(AI$6,FIND("V",AI$6)+1,256)/10000)</f>
        <v>0.001</v>
      </c>
      <c r="BE84" s="233"/>
      <c r="BF84" s="233"/>
      <c r="BG84" s="233"/>
      <c r="BH84" s="233"/>
      <c r="BI84" s="3" t="e">
        <f>(LARGE(Z$7:Z$126,1)-Z84)/2+1</f>
        <v>#VALUE!</v>
      </c>
      <c r="BJ84" s="3" t="e">
        <f>(LARGE(AA$7:AA$126,1)-AA84)/2+1</f>
        <v>#VALUE!</v>
      </c>
      <c r="BK84" s="3" t="e">
        <f>(LARGE(AB$7:AB$126,1)-AB84)/2+1</f>
        <v>#VALUE!</v>
      </c>
      <c r="BL84" s="3" t="e">
        <f>(LARGE(AC$7:AC$126,1)-AC84)/2+1</f>
        <v>#VALUE!</v>
      </c>
      <c r="BM84" s="3" t="e">
        <f>(LARGE(AD$7:AD$126,1)-AD84)/2+1</f>
        <v>#VALUE!</v>
      </c>
      <c r="BN84" s="3" t="e">
        <f>(LARGE(AE$7:AE$126,1)-AE84)/2+1</f>
        <v>#VALUE!</v>
      </c>
      <c r="BO84" s="3" t="e">
        <f>(LARGE(AF$7:AF$126,1)-AF84)/2+1</f>
        <v>#VALUE!</v>
      </c>
      <c r="BP84" s="3" t="e">
        <f>(LARGE(AG$7:AG$126,1)-AG84)/2+1</f>
        <v>#VALUE!</v>
      </c>
      <c r="BQ84" s="3" t="e">
        <f>(LARGE(AH$7:AH$126,1)-AH84)/2+1</f>
        <v>#NUM!</v>
      </c>
      <c r="BR84" s="3" t="e">
        <f>(LARGE(AI$7:AI$126,1)-AI84)/2+1</f>
        <v>#NUM!</v>
      </c>
    </row>
    <row r="85" ht="12.75" hidden="1" customHeight="1" spans="1:70">
      <c r="A85" s="139" t="str">
        <f>IF(R85&gt;0,IF(Q85="Viru SK",RANK(B85,B$7:B$126,1)-COUNTIF((Q$7:Q$126),"&lt;&gt;Viru SK"),""),"")</f>
        <v/>
      </c>
      <c r="B85" s="140">
        <f>IF((Q85="Viru SK"),U85,U85-1000)</f>
        <v>120</v>
      </c>
      <c r="C85" s="141" t="str">
        <f>IF(R85&gt;0,IF(P85="t",RANK(D85,D$7:D$126,1)-COUNTBLANK(P$7:P$126),""),"")</f>
        <v/>
      </c>
      <c r="D85" s="142">
        <f>IF((P85="t"),U85,U85-1000)</f>
        <v>120</v>
      </c>
      <c r="E85" s="143" t="str">
        <f>IF(R85&gt;0,IF(N85="m",RANK(F85,F$7:F$126,1)-COUNTBLANK(N$7:N$126),""),"")</f>
        <v/>
      </c>
      <c r="F85" s="144">
        <f>IF((N85="m"),U85,U85-1000)</f>
        <v>-880</v>
      </c>
      <c r="G85" s="145" t="str">
        <f>IF(R85&gt;0,IF(M85="n",RANK(H85,H$7:H$126,1)-COUNTBLANK(M$7:M$126),""),"")</f>
        <v/>
      </c>
      <c r="H85" s="144">
        <f>IF((M85="n"),U85,U85-1000)</f>
        <v>-880</v>
      </c>
      <c r="I85" s="160" t="str">
        <f>IF(R85&gt;0,IF(O85="j",RANK(J85,J$7:J$126,1)-COUNTBLANK(O$7:O$126),""),"")</f>
        <v/>
      </c>
      <c r="J85" s="161">
        <f>IF((O85="j"),U85,U85-1000)</f>
        <v>-880</v>
      </c>
      <c r="K85" s="162" t="str">
        <f>IF(R85&gt;0,RANK(U85,U$7:U$126,1),"")</f>
        <v/>
      </c>
      <c r="L85" s="163" t="s">
        <v>276</v>
      </c>
      <c r="M85" s="164"/>
      <c r="N85" s="165"/>
      <c r="O85" s="166"/>
      <c r="P85" s="167" t="s">
        <v>196</v>
      </c>
      <c r="Q85" s="192" t="s">
        <v>171</v>
      </c>
      <c r="R85" s="154">
        <f>(IF(COUNT(Z85,AA85,AB85,AC85,AD85,AE85,AF85,AG85,AH85,AI85)&lt;10,SUM(Z85,AA85,AB85,AC85,AD85,AE85,AF85,AG85,AH85,AI85),SUM(LARGE((Z85,AA85,AB85,AC85,AD85,AE85,AF85,AG85,AH85,AI85),{1;2;3;4;5;6;7;8;9}))))</f>
        <v>0</v>
      </c>
      <c r="S85" s="193" t="str">
        <f>INDEX(ETAPP!B$1:B$32,MATCH(COUNTIF(BI85:BR85,1),ETAPP!A$1:A$32,0))&amp;INDEX(ETAPP!B$1:B$32,MATCH(COUNTIF(BI85:BR85,2),ETAPP!A$1:A$32,0))&amp;INDEX(ETAPP!B$1:B$32,MATCH(COUNTIF(BI85:BR85,3),ETAPP!A$1:A$32,0))&amp;INDEX(ETAPP!B$1:B$32,MATCH(COUNTIF(BI85:BR85,4),ETAPP!A$1:A$32,0))&amp;INDEX(ETAPP!B$1:B$32,MATCH(COUNTIF(BI85:BR85,5),ETAPP!A$1:A$32,0))&amp;INDEX(ETAPP!B$1:B$32,MATCH(COUNTIF(BI85:BR85,6),ETAPP!A$1:A$32,0))&amp;INDEX(ETAPP!B$1:B$32,MATCH(COUNTIF(BI85:BR85,7),ETAPP!A$1:A$32,0))&amp;INDEX(ETAPP!B$1:B$32,MATCH(COUNTIF(BI85:BR85,8),ETAPP!A$1:A$32,0))&amp;INDEX(ETAPP!B$1:B$32,MATCH(COUNTIF(BI85:BR85,9),ETAPP!A$1:A$32,0))&amp;INDEX(ETAPP!B$1:B$32,MATCH(COUNTIF(BI85:BR85,10),ETAPP!A$1:A$32,0))&amp;INDEX(ETAPP!B$1:B$32,MATCH(COUNTIF(BI85:BR85,11),ETAPP!A$1:A$32,0))&amp;INDEX(ETAPP!B$1:B$32,MATCH(COUNTIF(BI85:BR85,12),ETAPP!A$1:A$32,0))&amp;INDEX(ETAPP!B$1:B$32,MATCH(COUNTIF(BI85:BR85,13),ETAPP!A$1:A$32,0))&amp;INDEX(ETAPP!B$1:B$32,MATCH(COUNTIF(BI85:BR85,14),ETAPP!A$1:A$32,0))&amp;INDEX(ETAPP!B$1:B$32,MATCH(COUNTIF(BI85:BR85,15),ETAPP!A$1:A$32,0))&amp;INDEX(ETAPP!B$1:B$32,MATCH(COUNTIF(BI85:BR85,16),ETAPP!A$1:A$32,0))&amp;INDEX(ETAPP!B$1:B$32,MATCH(COUNTIF(BI85:BR85,17),ETAPP!A$1:A$32,0))&amp;INDEX(ETAPP!B$1:B$32,MATCH(COUNTIF(BI85:BR85,18),ETAPP!A$1:A$32,0))&amp;INDEX(ETAPP!B$1:B$32,MATCH(COUNTIF(BI85:BR85,19),ETAPP!A$1:A$32,0))&amp;INDEX(ETAPP!B$1:B$32,MATCH(COUNTIF(BI85:BR85,20),ETAPP!A$1:A$32,0))&amp;INDEX(ETAPP!B$1:B$32,MATCH(COUNTIF(BI85:BR85,21),ETAPP!A$1:A$32,0))</f>
        <v>000000000000000000000</v>
      </c>
      <c r="T85" s="193" t="str">
        <f>TEXT(R85,"000,0")&amp;"-"&amp;S85</f>
        <v>000,0-000000000000000000000</v>
      </c>
      <c r="U85" s="193">
        <f>COUNTIF(T$7:T$126,"&gt;="&amp;T85)</f>
        <v>120</v>
      </c>
      <c r="V85" s="193">
        <f>COUNTIF(L$7:L$126,"&gt;="&amp;L85)</f>
        <v>80</v>
      </c>
      <c r="W85" s="193" t="str">
        <f>TEXT(R85,"000,0")&amp;"-"&amp;S85&amp;"-"&amp;TEXT(V85,"000")</f>
        <v>000,0-000000000000000000000-080</v>
      </c>
      <c r="X85" s="193">
        <f>COUNTIF(W$7:W$126,"&gt;="&amp;W85)</f>
        <v>79</v>
      </c>
      <c r="Y85" s="201">
        <f>RANK(X85,X$7:X$126,0)</f>
        <v>42</v>
      </c>
      <c r="Z85" s="202" t="str">
        <f>IFERROR(INDEX('V1'!C$300:C$400,MATCH("*"&amp;L85&amp;"*",'V1'!B$300:B$400,0)),"  ")</f>
        <v>  </v>
      </c>
      <c r="AA85" s="202" t="str">
        <f>IFERROR(INDEX('V2'!C$300:C$400,MATCH("*"&amp;L85&amp;"*",'V2'!B$300:B$400,0)),"  ")</f>
        <v>  </v>
      </c>
      <c r="AB85" s="202" t="str">
        <f>IFERROR(INDEX('V3'!C$300:C$400,MATCH("*"&amp;L85&amp;"*",'V3'!B$300:B$400,0)),"  ")</f>
        <v>  </v>
      </c>
      <c r="AC85" s="202" t="str">
        <f>IFERROR(INDEX('V4'!C$300:C$400,MATCH("*"&amp;L85&amp;"*",'V4'!B$300:B$400,0)),"  ")</f>
        <v>  </v>
      </c>
      <c r="AD85" s="202" t="str">
        <f>IFERROR(INDEX('V5'!C$300:C$400,MATCH("*"&amp;L85&amp;"*",'V5'!B$300:B$400,0)),"  ")</f>
        <v>  </v>
      </c>
      <c r="AE85" s="202" t="str">
        <f>IFERROR(INDEX('V6'!C$300:C$400,MATCH("*"&amp;L85&amp;"*",'V6'!B$300:B$400,0)),"  ")</f>
        <v>  </v>
      </c>
      <c r="AF85" s="202" t="str">
        <f>IFERROR(INDEX('V7'!C$300:C$400,MATCH("*"&amp;L85&amp;"*",'V7'!B$300:B$400,0)),"  ")</f>
        <v>  </v>
      </c>
      <c r="AG85" s="202" t="str">
        <f>IFERROR(INDEX('V8'!C$300:C$400,MATCH("*"&amp;L85&amp;"*",'V8'!B$300:B$400,0)),"  ")</f>
        <v>  </v>
      </c>
      <c r="AH85" s="202"/>
      <c r="AI85" s="202"/>
      <c r="AJ85" s="222" t="str">
        <f>IF(AN85&gt;(AT$2-1),K85,"")</f>
        <v/>
      </c>
      <c r="AK85" s="223">
        <f>SUM(Z85:AI85)</f>
        <v>0</v>
      </c>
      <c r="AL85" s="224" t="str">
        <f>IFERROR("edasi "&amp;RANK(AJ85,AJ$7:AJ$126,1),K85)</f>
        <v/>
      </c>
      <c r="AM85" s="225" t="str">
        <f>IFERROR(INDEX(#REF!,MATCH("*"&amp;L85&amp;"*",#REF!,0)),"  ")</f>
        <v>  </v>
      </c>
      <c r="AN85" s="226">
        <f>COUNTIF(Z85:AI85,"&gt;=0")</f>
        <v>0</v>
      </c>
      <c r="AO85" s="126">
        <f>IFERROR(IF(Z85+1&gt;LARGE(Z$7:Z$126,1)-2*LEN(Z$5),1),0)+IFERROR(IF(AA85+1&gt;LARGE(AA$7:AA$126,1)-2*LEN(AA$5),1),0)+IFERROR(IF(AB85+1&gt;LARGE(AB$7:AB$126,1)-2*LEN(AB$5),1),0)+IFERROR(IF(AC85+1&gt;LARGE(AC$7:AC$126,1)-2*LEN(AC$5),1),0)+IFERROR(IF(AD85+1&gt;LARGE(AD$7:AD$126,1)-2*LEN(AD$5),1),0)+IFERROR(IF(AE85+1&gt;LARGE(AE$7:AE$126,1)-2*LEN(AE$5),1),0)+IFERROR(IF(AF85+1&gt;LARGE(AF$7:AF$126,1)-2*LEN(AF$5),1),0)+IFERROR(IF(AG85+1&gt;LARGE(AG$7:AG$126,1)-2*LEN(AG$5),1),0)+IFERROR(IF(AH85+1&gt;LARGE(AH$7:AH$126,1)-2*LEN(AH$5),1),0)+IFERROR(IF(AI85+1&gt;LARGE(AI$7:AI$126,1)-2*LEN(AI$5),1),0)</f>
        <v>0</v>
      </c>
      <c r="AP85" s="126">
        <f>IF(Z85=0,0,IF(Z85=IFERROR(LARGE(Z$7:Z$126,1),0),1,0))+IF(AA85=0,0,IF(AA85=IFERROR(LARGE(AA$7:AA$126,1),0),1,0))+IF(AB85=0,0,IF(AB85=IFERROR(LARGE(AB$7:AB$126,1),0),1,0))+IF(AC85=0,0,IF(AC85=IFERROR(LARGE(AC$7:AC$126,1),0),1,0))+IF(AD85=0,0,IF(AD85=IFERROR(LARGE(AD$7:AD$126,1),0),1,0))+IF(AE85=0,0,IF(AE85=IFERROR(LARGE(AE$7:AE$126,1),0),1,0))+IF(AF85=0,0,IF(AF85=IFERROR(LARGE(AF$7:AF$126,1),0),1,0))+IF(AG85=0,0,IF(AG85=IFERROR(LARGE(AG$7:AG$126,1),0),1,0))+IF(AH85=0,0,IF(AH85=IFERROR(LARGE(AH$7:AH$126,1),0),1,0))+IF(AI85=0,0,IF(AI85=IFERROR(LARGE(AI$7:AI$126,1),0),1,0))</f>
        <v>0</v>
      </c>
      <c r="AQ85" s="233"/>
      <c r="AR85" s="233"/>
      <c r="AS85" s="233"/>
      <c r="AT85" s="234">
        <f>SMALL(AU85:BD85,AT$3)</f>
        <v>0.0001</v>
      </c>
      <c r="AU85" s="235">
        <f>IF(Z85="  ",0+MID(Z$6,FIND("V",Z$6)+1,256)/10000,Z85+MID(Z$6,FIND("V",Z$6)+1,256)/10000)</f>
        <v>0.0001</v>
      </c>
      <c r="AV85" s="235">
        <f>IF(AA85="  ",0+MID(AA$6,FIND("V",AA$6)+1,256)/10000,AA85+MID(AA$6,FIND("V",AA$6)+1,256)/10000)</f>
        <v>0.0002</v>
      </c>
      <c r="AW85" s="235">
        <f>IF(AB85="  ",0+MID(AB$6,FIND("V",AB$6)+1,256)/10000,AB85+MID(AB$6,FIND("V",AB$6)+1,256)/10000)</f>
        <v>0.0003</v>
      </c>
      <c r="AX85" s="235">
        <f>IF(AC85="  ",0+MID(AC$6,FIND("V",AC$6)+1,256)/10000,AC85+MID(AC$6,FIND("V",AC$6)+1,256)/10000)</f>
        <v>0.0004</v>
      </c>
      <c r="AY85" s="235">
        <f>IF(AD85="  ",0+MID(AD$6,FIND("V",AD$6)+1,256)/10000,AD85+MID(AD$6,FIND("V",AD$6)+1,256)/10000)</f>
        <v>0.0005</v>
      </c>
      <c r="AZ85" s="235">
        <f>IF(AE85="  ",0+MID(AE$6,FIND("V",AE$6)+1,256)/10000,AE85+MID(AE$6,FIND("V",AE$6)+1,256)/10000)</f>
        <v>0.0006</v>
      </c>
      <c r="BA85" s="235">
        <f>IF(AF85="  ",0+MID(AF$6,FIND("V",AF$6)+1,256)/10000,AF85+MID(AF$6,FIND("V",AF$6)+1,256)/10000)</f>
        <v>0.0007</v>
      </c>
      <c r="BB85" s="235">
        <f>IF(AG85="  ",0+MID(AG$6,FIND("V",AG$6)+1,256)/10000,AG85+MID(AG$6,FIND("V",AG$6)+1,256)/10000)</f>
        <v>0.0008</v>
      </c>
      <c r="BC85" s="235">
        <f>IF(AH85="  ",0+MID(AH$6,FIND("V",AH$6)+1,256)/10000,AH85+MID(AH$6,FIND("V",AH$6)+1,256)/10000)</f>
        <v>0.0009</v>
      </c>
      <c r="BD85" s="235">
        <f>IF(AI85="  ",0+MID(AI$6,FIND("V",AI$6)+1,256)/10000,AI85+MID(AI$6,FIND("V",AI$6)+1,256)/10000)</f>
        <v>0.001</v>
      </c>
      <c r="BE85" s="233"/>
      <c r="BF85" s="233"/>
      <c r="BG85" s="233"/>
      <c r="BH85" s="233"/>
      <c r="BI85" s="3" t="e">
        <f>(LARGE(Z$7:Z$126,1)-Z85)/2+1</f>
        <v>#VALUE!</v>
      </c>
      <c r="BJ85" s="3" t="e">
        <f>(LARGE(AA$7:AA$126,1)-AA85)/2+1</f>
        <v>#VALUE!</v>
      </c>
      <c r="BK85" s="3" t="e">
        <f>(LARGE(AB$7:AB$126,1)-AB85)/2+1</f>
        <v>#VALUE!</v>
      </c>
      <c r="BL85" s="3" t="e">
        <f>(LARGE(AC$7:AC$126,1)-AC85)/2+1</f>
        <v>#VALUE!</v>
      </c>
      <c r="BM85" s="3" t="e">
        <f>(LARGE(AD$7:AD$126,1)-AD85)/2+1</f>
        <v>#VALUE!</v>
      </c>
      <c r="BN85" s="3" t="e">
        <f>(LARGE(AE$7:AE$126,1)-AE85)/2+1</f>
        <v>#VALUE!</v>
      </c>
      <c r="BO85" s="3" t="e">
        <f>(LARGE(AF$7:AF$126,1)-AF85)/2+1</f>
        <v>#VALUE!</v>
      </c>
      <c r="BP85" s="3" t="e">
        <f>(LARGE(AG$7:AG$126,1)-AG85)/2+1</f>
        <v>#VALUE!</v>
      </c>
      <c r="BQ85" s="3" t="e">
        <f>(LARGE(AH$7:AH$126,1)-AH85)/2+1</f>
        <v>#NUM!</v>
      </c>
      <c r="BR85" s="3" t="e">
        <f>(LARGE(AI$7:AI$126,1)-AI85)/2+1</f>
        <v>#NUM!</v>
      </c>
    </row>
    <row r="86" ht="12.75" hidden="1" customHeight="1" spans="1:70">
      <c r="A86" s="139" t="str">
        <f>IF(R86&gt;0,IF(Q86="Viru SK",RANK(B86,B$7:B$126,1)-COUNTIF((Q$7:Q$126),"&lt;&gt;Viru SK"),""),"")</f>
        <v/>
      </c>
      <c r="B86" s="140">
        <f>IF((Q86="Viru SK"),U86,U86-1000)</f>
        <v>120</v>
      </c>
      <c r="C86" s="141" t="str">
        <f>IF(R86&gt;0,IF(P86="t",RANK(D86,D$7:D$126,1)-COUNTBLANK(P$7:P$126),""),"")</f>
        <v/>
      </c>
      <c r="D86" s="142">
        <f>IF((P86="t"),U86,U86-1000)</f>
        <v>120</v>
      </c>
      <c r="E86" s="143" t="str">
        <f>IF(R86&gt;0,IF(N86="m",RANK(F86,F$7:F$126,1)-COUNTBLANK(N$7:N$126),""),"")</f>
        <v/>
      </c>
      <c r="F86" s="144">
        <f>IF((N86="m"),U86,U86-1000)</f>
        <v>-880</v>
      </c>
      <c r="G86" s="145" t="str">
        <f>IF(R86&gt;0,IF(M86="n",RANK(H86,H$7:H$126,1)-COUNTBLANK(M$7:M$126),""),"")</f>
        <v/>
      </c>
      <c r="H86" s="144">
        <f>IF((M86="n"),U86,U86-1000)</f>
        <v>120</v>
      </c>
      <c r="I86" s="160" t="str">
        <f>IF(R86&gt;0,IF(O86="j",RANK(J86,J$7:J$126,1)-COUNTBLANK(O$7:O$126),""),"")</f>
        <v/>
      </c>
      <c r="J86" s="161">
        <f>IF((O86="j"),U86,U86-1000)</f>
        <v>-880</v>
      </c>
      <c r="K86" s="162" t="str">
        <f>IF(R86&gt;0,RANK(U86,U$7:U$126,1),"")</f>
        <v/>
      </c>
      <c r="L86" s="168" t="s">
        <v>277</v>
      </c>
      <c r="M86" s="164" t="s">
        <v>203</v>
      </c>
      <c r="N86" s="165" t="str">
        <f>IF(M86="","m","")</f>
        <v/>
      </c>
      <c r="O86" s="166"/>
      <c r="P86" s="167" t="s">
        <v>196</v>
      </c>
      <c r="Q86" s="192" t="s">
        <v>171</v>
      </c>
      <c r="R86" s="154">
        <f>(IF(COUNT(Z86,AA86,AB86,AC86,AD86,AE86,AF86,AG86,AH86,AI86)&lt;10,SUM(Z86,AA86,AB86,AC86,AD86,AE86,AF86,AG86,AH86,AI86),SUM(LARGE((Z86,AA86,AB86,AC86,AD86,AE86,AF86,AG86,AH86,AI86),{1;2;3;4;5;6;7;8;9}))))</f>
        <v>0</v>
      </c>
      <c r="S86" s="193" t="str">
        <f>INDEX(ETAPP!B$1:B$32,MATCH(COUNTIF(BI86:BR86,1),ETAPP!A$1:A$32,0))&amp;INDEX(ETAPP!B$1:B$32,MATCH(COUNTIF(BI86:BR86,2),ETAPP!A$1:A$32,0))&amp;INDEX(ETAPP!B$1:B$32,MATCH(COUNTIF(BI86:BR86,3),ETAPP!A$1:A$32,0))&amp;INDEX(ETAPP!B$1:B$32,MATCH(COUNTIF(BI86:BR86,4),ETAPP!A$1:A$32,0))&amp;INDEX(ETAPP!B$1:B$32,MATCH(COUNTIF(BI86:BR86,5),ETAPP!A$1:A$32,0))&amp;INDEX(ETAPP!B$1:B$32,MATCH(COUNTIF(BI86:BR86,6),ETAPP!A$1:A$32,0))&amp;INDEX(ETAPP!B$1:B$32,MATCH(COUNTIF(BI86:BR86,7),ETAPP!A$1:A$32,0))&amp;INDEX(ETAPP!B$1:B$32,MATCH(COUNTIF(BI86:BR86,8),ETAPP!A$1:A$32,0))&amp;INDEX(ETAPP!B$1:B$32,MATCH(COUNTIF(BI86:BR86,9),ETAPP!A$1:A$32,0))&amp;INDEX(ETAPP!B$1:B$32,MATCH(COUNTIF(BI86:BR86,10),ETAPP!A$1:A$32,0))&amp;INDEX(ETAPP!B$1:B$32,MATCH(COUNTIF(BI86:BR86,11),ETAPP!A$1:A$32,0))&amp;INDEX(ETAPP!B$1:B$32,MATCH(COUNTIF(BI86:BR86,12),ETAPP!A$1:A$32,0))&amp;INDEX(ETAPP!B$1:B$32,MATCH(COUNTIF(BI86:BR86,13),ETAPP!A$1:A$32,0))&amp;INDEX(ETAPP!B$1:B$32,MATCH(COUNTIF(BI86:BR86,14),ETAPP!A$1:A$32,0))&amp;INDEX(ETAPP!B$1:B$32,MATCH(COUNTIF(BI86:BR86,15),ETAPP!A$1:A$32,0))&amp;INDEX(ETAPP!B$1:B$32,MATCH(COUNTIF(BI86:BR86,16),ETAPP!A$1:A$32,0))&amp;INDEX(ETAPP!B$1:B$32,MATCH(COUNTIF(BI86:BR86,17),ETAPP!A$1:A$32,0))&amp;INDEX(ETAPP!B$1:B$32,MATCH(COUNTIF(BI86:BR86,18),ETAPP!A$1:A$32,0))&amp;INDEX(ETAPP!B$1:B$32,MATCH(COUNTIF(BI86:BR86,19),ETAPP!A$1:A$32,0))&amp;INDEX(ETAPP!B$1:B$32,MATCH(COUNTIF(BI86:BR86,20),ETAPP!A$1:A$32,0))&amp;INDEX(ETAPP!B$1:B$32,MATCH(COUNTIF(BI86:BR86,21),ETAPP!A$1:A$32,0))</f>
        <v>000000000000000000000</v>
      </c>
      <c r="T86" s="193" t="str">
        <f>TEXT(R86,"000,0")&amp;"-"&amp;S86</f>
        <v>000,0-000000000000000000000</v>
      </c>
      <c r="U86" s="193">
        <f>COUNTIF(T$7:T$126,"&gt;="&amp;T86)</f>
        <v>120</v>
      </c>
      <c r="V86" s="193">
        <f>COUNTIF(L$7:L$126,"&gt;="&amp;L86)</f>
        <v>79</v>
      </c>
      <c r="W86" s="193" t="str">
        <f>TEXT(R86,"000,0")&amp;"-"&amp;S86&amp;"-"&amp;TEXT(V86,"000")</f>
        <v>000,0-000000000000000000000-079</v>
      </c>
      <c r="X86" s="193">
        <f>COUNTIF(W$7:W$126,"&gt;="&amp;W86)</f>
        <v>80</v>
      </c>
      <c r="Y86" s="201">
        <f>RANK(X86,X$7:X$126,0)</f>
        <v>41</v>
      </c>
      <c r="Z86" s="202" t="str">
        <f>IFERROR(INDEX('V1'!C$300:C$400,MATCH("*"&amp;L86&amp;"*",'V1'!B$300:B$400,0)),"  ")</f>
        <v>  </v>
      </c>
      <c r="AA86" s="202" t="str">
        <f>IFERROR(INDEX('V2'!C$300:C$400,MATCH("*"&amp;L86&amp;"*",'V2'!B$300:B$400,0)),"  ")</f>
        <v>  </v>
      </c>
      <c r="AB86" s="202" t="str">
        <f>IFERROR(INDEX('V3'!C$300:C$400,MATCH("*"&amp;L86&amp;"*",'V3'!B$300:B$400,0)),"  ")</f>
        <v>  </v>
      </c>
      <c r="AC86" s="202" t="str">
        <f>IFERROR(INDEX('V4'!C$300:C$400,MATCH("*"&amp;L86&amp;"*",'V4'!B$300:B$400,0)),"  ")</f>
        <v>  </v>
      </c>
      <c r="AD86" s="202" t="str">
        <f>IFERROR(INDEX('V5'!C$300:C$400,MATCH("*"&amp;L86&amp;"*",'V5'!B$300:B$400,0)),"  ")</f>
        <v>  </v>
      </c>
      <c r="AE86" s="202" t="str">
        <f>IFERROR(INDEX('V6'!C$300:C$400,MATCH("*"&amp;L86&amp;"*",'V6'!B$300:B$400,0)),"  ")</f>
        <v>  </v>
      </c>
      <c r="AF86" s="202" t="str">
        <f>IFERROR(INDEX('V7'!C$300:C$400,MATCH("*"&amp;L86&amp;"*",'V7'!B$300:B$400,0)),"  ")</f>
        <v>  </v>
      </c>
      <c r="AG86" s="202" t="str">
        <f>IFERROR(INDEX('V8'!C$300:C$400,MATCH("*"&amp;L86&amp;"*",'V8'!B$300:B$400,0)),"  ")</f>
        <v>  </v>
      </c>
      <c r="AH86" s="202"/>
      <c r="AI86" s="202"/>
      <c r="AJ86" s="222" t="str">
        <f>IF(AN86&gt;(AT$2-1),K86,"")</f>
        <v/>
      </c>
      <c r="AK86" s="223">
        <f>SUM(Z86:AI86)</f>
        <v>0</v>
      </c>
      <c r="AL86" s="224" t="str">
        <f>IFERROR("edasi "&amp;RANK(AJ86,AJ$7:AJ$126,1),K86)</f>
        <v/>
      </c>
      <c r="AM86" s="225" t="str">
        <f>IFERROR(INDEX(#REF!,MATCH("*"&amp;L86&amp;"*",#REF!,0)),"  ")</f>
        <v>  </v>
      </c>
      <c r="AN86" s="226">
        <f>COUNTIF(Z86:AI86,"&gt;=0")</f>
        <v>0</v>
      </c>
      <c r="AO86" s="126">
        <f>IFERROR(IF(Z86+1&gt;LARGE(Z$7:Z$126,1)-2*LEN(Z$5),1),0)+IFERROR(IF(AA86+1&gt;LARGE(AA$7:AA$126,1)-2*LEN(AA$5),1),0)+IFERROR(IF(AB86+1&gt;LARGE(AB$7:AB$126,1)-2*LEN(AB$5),1),0)+IFERROR(IF(AC86+1&gt;LARGE(AC$7:AC$126,1)-2*LEN(AC$5),1),0)+IFERROR(IF(AD86+1&gt;LARGE(AD$7:AD$126,1)-2*LEN(AD$5),1),0)+IFERROR(IF(AE86+1&gt;LARGE(AE$7:AE$126,1)-2*LEN(AE$5),1),0)+IFERROR(IF(AF86+1&gt;LARGE(AF$7:AF$126,1)-2*LEN(AF$5),1),0)+IFERROR(IF(AG86+1&gt;LARGE(AG$7:AG$126,1)-2*LEN(AG$5),1),0)+IFERROR(IF(AH86+1&gt;LARGE(AH$7:AH$126,1)-2*LEN(AH$5),1),0)+IFERROR(IF(AI86+1&gt;LARGE(AI$7:AI$126,1)-2*LEN(AI$5),1),0)</f>
        <v>0</v>
      </c>
      <c r="AP86" s="126">
        <f>IF(Z86=0,0,IF(Z86=IFERROR(LARGE(Z$7:Z$126,1),0),1,0))+IF(AA86=0,0,IF(AA86=IFERROR(LARGE(AA$7:AA$126,1),0),1,0))+IF(AB86=0,0,IF(AB86=IFERROR(LARGE(AB$7:AB$126,1),0),1,0))+IF(AC86=0,0,IF(AC86=IFERROR(LARGE(AC$7:AC$126,1),0),1,0))+IF(AD86=0,0,IF(AD86=IFERROR(LARGE(AD$7:AD$126,1),0),1,0))+IF(AE86=0,0,IF(AE86=IFERROR(LARGE(AE$7:AE$126,1),0),1,0))+IF(AF86=0,0,IF(AF86=IFERROR(LARGE(AF$7:AF$126,1),0),1,0))+IF(AG86=0,0,IF(AG86=IFERROR(LARGE(AG$7:AG$126,1),0),1,0))+IF(AH86=0,0,IF(AH86=IFERROR(LARGE(AH$7:AH$126,1),0),1,0))+IF(AI86=0,0,IF(AI86=IFERROR(LARGE(AI$7:AI$126,1),0),1,0))</f>
        <v>0</v>
      </c>
      <c r="AQ86" s="233"/>
      <c r="AR86" s="233"/>
      <c r="AS86" s="233"/>
      <c r="AT86" s="234">
        <f>SMALL(AU86:BD86,AT$3)</f>
        <v>0.0001</v>
      </c>
      <c r="AU86" s="235">
        <f>IF(Z86="  ",0+MID(Z$6,FIND("V",Z$6)+1,256)/10000,Z86+MID(Z$6,FIND("V",Z$6)+1,256)/10000)</f>
        <v>0.0001</v>
      </c>
      <c r="AV86" s="235">
        <f>IF(AA86="  ",0+MID(AA$6,FIND("V",AA$6)+1,256)/10000,AA86+MID(AA$6,FIND("V",AA$6)+1,256)/10000)</f>
        <v>0.0002</v>
      </c>
      <c r="AW86" s="235">
        <f>IF(AB86="  ",0+MID(AB$6,FIND("V",AB$6)+1,256)/10000,AB86+MID(AB$6,FIND("V",AB$6)+1,256)/10000)</f>
        <v>0.0003</v>
      </c>
      <c r="AX86" s="235">
        <f>IF(AC86="  ",0+MID(AC$6,FIND("V",AC$6)+1,256)/10000,AC86+MID(AC$6,FIND("V",AC$6)+1,256)/10000)</f>
        <v>0.0004</v>
      </c>
      <c r="AY86" s="235">
        <f>IF(AD86="  ",0+MID(AD$6,FIND("V",AD$6)+1,256)/10000,AD86+MID(AD$6,FIND("V",AD$6)+1,256)/10000)</f>
        <v>0.0005</v>
      </c>
      <c r="AZ86" s="235">
        <f>IF(AE86="  ",0+MID(AE$6,FIND("V",AE$6)+1,256)/10000,AE86+MID(AE$6,FIND("V",AE$6)+1,256)/10000)</f>
        <v>0.0006</v>
      </c>
      <c r="BA86" s="235">
        <f>IF(AF86="  ",0+MID(AF$6,FIND("V",AF$6)+1,256)/10000,AF86+MID(AF$6,FIND("V",AF$6)+1,256)/10000)</f>
        <v>0.0007</v>
      </c>
      <c r="BB86" s="235">
        <f>IF(AG86="  ",0+MID(AG$6,FIND("V",AG$6)+1,256)/10000,AG86+MID(AG$6,FIND("V",AG$6)+1,256)/10000)</f>
        <v>0.0008</v>
      </c>
      <c r="BC86" s="235">
        <f>IF(AH86="  ",0+MID(AH$6,FIND("V",AH$6)+1,256)/10000,AH86+MID(AH$6,FIND("V",AH$6)+1,256)/10000)</f>
        <v>0.0009</v>
      </c>
      <c r="BD86" s="235">
        <f>IF(AI86="  ",0+MID(AI$6,FIND("V",AI$6)+1,256)/10000,AI86+MID(AI$6,FIND("V",AI$6)+1,256)/10000)</f>
        <v>0.001</v>
      </c>
      <c r="BE86" s="233"/>
      <c r="BF86" s="233"/>
      <c r="BG86" s="233"/>
      <c r="BH86" s="233"/>
      <c r="BI86" s="3" t="e">
        <f>(LARGE(Z$7:Z$126,1)-Z86)/2+1</f>
        <v>#VALUE!</v>
      </c>
      <c r="BJ86" s="3" t="e">
        <f>(LARGE(AA$7:AA$126,1)-AA86)/2+1</f>
        <v>#VALUE!</v>
      </c>
      <c r="BK86" s="3" t="e">
        <f>(LARGE(AB$7:AB$126,1)-AB86)/2+1</f>
        <v>#VALUE!</v>
      </c>
      <c r="BL86" s="3" t="e">
        <f>(LARGE(AC$7:AC$126,1)-AC86)/2+1</f>
        <v>#VALUE!</v>
      </c>
      <c r="BM86" s="3" t="e">
        <f>(LARGE(AD$7:AD$126,1)-AD86)/2+1</f>
        <v>#VALUE!</v>
      </c>
      <c r="BN86" s="3" t="e">
        <f>(LARGE(AE$7:AE$126,1)-AE86)/2+1</f>
        <v>#VALUE!</v>
      </c>
      <c r="BO86" s="3" t="e">
        <f>(LARGE(AF$7:AF$126,1)-AF86)/2+1</f>
        <v>#VALUE!</v>
      </c>
      <c r="BP86" s="3" t="e">
        <f>(LARGE(AG$7:AG$126,1)-AG86)/2+1</f>
        <v>#VALUE!</v>
      </c>
      <c r="BQ86" s="3" t="e">
        <f>(LARGE(AH$7:AH$126,1)-AH86)/2+1</f>
        <v>#NUM!</v>
      </c>
      <c r="BR86" s="3" t="e">
        <f>(LARGE(AI$7:AI$126,1)-AI86)/2+1</f>
        <v>#NUM!</v>
      </c>
    </row>
    <row r="87" ht="12.75" hidden="1" customHeight="1" spans="1:70">
      <c r="A87" s="139" t="str">
        <f>IF(R87&gt;0,IF(Q87="Viru SK",RANK(B87,B$7:B$126,1)-COUNTIF((Q$7:Q$126),"&lt;&gt;Viru SK"),""),"")</f>
        <v/>
      </c>
      <c r="B87" s="140">
        <f>IF((Q87="Viru SK"),U87,U87-1000)</f>
        <v>-880</v>
      </c>
      <c r="C87" s="141" t="str">
        <f>IF(R87&gt;0,IF(P87="t",RANK(D87,D$7:D$126,1)-COUNTBLANK(P$7:P$126),""),"")</f>
        <v/>
      </c>
      <c r="D87" s="142">
        <f>IF((P87="t"),U87,U87-1000)</f>
        <v>-880</v>
      </c>
      <c r="E87" s="143" t="str">
        <f>IF(R87&gt;0,IF(N87="m",RANK(F87,F$7:F$126,1)-COUNTBLANK(N$7:N$126),""),"")</f>
        <v/>
      </c>
      <c r="F87" s="144">
        <f>IF((N87="m"),U87,U87-1000)</f>
        <v>120</v>
      </c>
      <c r="G87" s="145" t="str">
        <f>IF(R87&gt;0,IF(M87="n",RANK(H87,H$7:H$126,1)-COUNTBLANK(M$7:M$126),""),"")</f>
        <v/>
      </c>
      <c r="H87" s="144">
        <f>IF((M87="n"),U87,U87-1000)</f>
        <v>-880</v>
      </c>
      <c r="I87" s="160" t="str">
        <f>IF(R87&gt;0,IF(O87="j",RANK(J87,J$7:J$126,1)-COUNTBLANK(O$7:O$126),""),"")</f>
        <v/>
      </c>
      <c r="J87" s="161">
        <f>IF((O87="j"),U87,U87-1000)</f>
        <v>-880</v>
      </c>
      <c r="K87" s="162" t="str">
        <f>IF(R87&gt;0,RANK(U87,U$7:U$126,1),"")</f>
        <v/>
      </c>
      <c r="L87" s="163" t="s">
        <v>278</v>
      </c>
      <c r="M87" s="164"/>
      <c r="N87" s="165" t="str">
        <f>IF(M87="","m","")</f>
        <v>m</v>
      </c>
      <c r="O87" s="166"/>
      <c r="P87" s="167"/>
      <c r="Q87" s="192"/>
      <c r="R87" s="154">
        <f>(IF(COUNT(Z87,AA87,AB87,AC87,AD87,AE87,AF87,AG87,AH87,AI87)&lt;10,SUM(Z87,AA87,AB87,AC87,AD87,AE87,AF87,AG87,AH87,AI87),SUM(LARGE((Z87,AA87,AB87,AC87,AD87,AE87,AF87,AG87,AH87,AI87),{1;2;3;4;5;6;7;8;9}))))</f>
        <v>0</v>
      </c>
      <c r="S87" s="193" t="str">
        <f>INDEX(ETAPP!B$1:B$32,MATCH(COUNTIF(BI87:BR87,1),ETAPP!A$1:A$32,0))&amp;INDEX(ETAPP!B$1:B$32,MATCH(COUNTIF(BI87:BR87,2),ETAPP!A$1:A$32,0))&amp;INDEX(ETAPP!B$1:B$32,MATCH(COUNTIF(BI87:BR87,3),ETAPP!A$1:A$32,0))&amp;INDEX(ETAPP!B$1:B$32,MATCH(COUNTIF(BI87:BR87,4),ETAPP!A$1:A$32,0))&amp;INDEX(ETAPP!B$1:B$32,MATCH(COUNTIF(BI87:BR87,5),ETAPP!A$1:A$32,0))&amp;INDEX(ETAPP!B$1:B$32,MATCH(COUNTIF(BI87:BR87,6),ETAPP!A$1:A$32,0))&amp;INDEX(ETAPP!B$1:B$32,MATCH(COUNTIF(BI87:BR87,7),ETAPP!A$1:A$32,0))&amp;INDEX(ETAPP!B$1:B$32,MATCH(COUNTIF(BI87:BR87,8),ETAPP!A$1:A$32,0))&amp;INDEX(ETAPP!B$1:B$32,MATCH(COUNTIF(BI87:BR87,9),ETAPP!A$1:A$32,0))&amp;INDEX(ETAPP!B$1:B$32,MATCH(COUNTIF(BI87:BR87,10),ETAPP!A$1:A$32,0))&amp;INDEX(ETAPP!B$1:B$32,MATCH(COUNTIF(BI87:BR87,11),ETAPP!A$1:A$32,0))&amp;INDEX(ETAPP!B$1:B$32,MATCH(COUNTIF(BI87:BR87,12),ETAPP!A$1:A$32,0))&amp;INDEX(ETAPP!B$1:B$32,MATCH(COUNTIF(BI87:BR87,13),ETAPP!A$1:A$32,0))&amp;INDEX(ETAPP!B$1:B$32,MATCH(COUNTIF(BI87:BR87,14),ETAPP!A$1:A$32,0))&amp;INDEX(ETAPP!B$1:B$32,MATCH(COUNTIF(BI87:BR87,15),ETAPP!A$1:A$32,0))&amp;INDEX(ETAPP!B$1:B$32,MATCH(COUNTIF(BI87:BR87,16),ETAPP!A$1:A$32,0))&amp;INDEX(ETAPP!B$1:B$32,MATCH(COUNTIF(BI87:BR87,17),ETAPP!A$1:A$32,0))&amp;INDEX(ETAPP!B$1:B$32,MATCH(COUNTIF(BI87:BR87,18),ETAPP!A$1:A$32,0))&amp;INDEX(ETAPP!B$1:B$32,MATCH(COUNTIF(BI87:BR87,19),ETAPP!A$1:A$32,0))&amp;INDEX(ETAPP!B$1:B$32,MATCH(COUNTIF(BI87:BR87,20),ETAPP!A$1:A$32,0))&amp;INDEX(ETAPP!B$1:B$32,MATCH(COUNTIF(BI87:BR87,21),ETAPP!A$1:A$32,0))</f>
        <v>000000000000000000000</v>
      </c>
      <c r="T87" s="193" t="str">
        <f>TEXT(R87,"000,0")&amp;"-"&amp;S87</f>
        <v>000,0-000000000000000000000</v>
      </c>
      <c r="U87" s="193">
        <f>COUNTIF(T$7:T$126,"&gt;="&amp;T87)</f>
        <v>120</v>
      </c>
      <c r="V87" s="193">
        <f>COUNTIF(L$7:L$126,"&gt;="&amp;L87)</f>
        <v>77</v>
      </c>
      <c r="W87" s="193" t="str">
        <f>TEXT(R87,"000,0")&amp;"-"&amp;S87&amp;"-"&amp;TEXT(V87,"000")</f>
        <v>000,0-000000000000000000000-077</v>
      </c>
      <c r="X87" s="193">
        <f>COUNTIF(W$7:W$126,"&gt;="&amp;W87)</f>
        <v>81</v>
      </c>
      <c r="Y87" s="201">
        <f>RANK(X87,X$7:X$126,0)</f>
        <v>40</v>
      </c>
      <c r="Z87" s="202" t="str">
        <f>IFERROR(INDEX('V1'!C$300:C$400,MATCH("*"&amp;L87&amp;"*",'V1'!B$300:B$400,0)),"  ")</f>
        <v>  </v>
      </c>
      <c r="AA87" s="202" t="str">
        <f>IFERROR(INDEX('V2'!C$300:C$400,MATCH("*"&amp;L87&amp;"*",'V2'!B$300:B$400,0)),"  ")</f>
        <v>  </v>
      </c>
      <c r="AB87" s="202" t="str">
        <f>IFERROR(INDEX('V3'!C$300:C$400,MATCH("*"&amp;L87&amp;"*",'V3'!B$300:B$400,0)),"  ")</f>
        <v>  </v>
      </c>
      <c r="AC87" s="202" t="str">
        <f>IFERROR(INDEX('V4'!C$300:C$400,MATCH("*"&amp;L87&amp;"*",'V4'!B$300:B$400,0)),"  ")</f>
        <v>  </v>
      </c>
      <c r="AD87" s="202" t="str">
        <f>IFERROR(INDEX('V5'!C$300:C$400,MATCH("*"&amp;L87&amp;"*",'V5'!B$300:B$400,0)),"  ")</f>
        <v>  </v>
      </c>
      <c r="AE87" s="202" t="str">
        <f>IFERROR(INDEX('V6'!C$300:C$400,MATCH("*"&amp;L87&amp;"*",'V6'!B$300:B$400,0)),"  ")</f>
        <v>  </v>
      </c>
      <c r="AF87" s="202" t="str">
        <f>IFERROR(INDEX('V7'!C$300:C$400,MATCH("*"&amp;L87&amp;"*",'V7'!B$300:B$400,0)),"  ")</f>
        <v>  </v>
      </c>
      <c r="AG87" s="202" t="str">
        <f>IFERROR(INDEX('V8'!C$300:C$400,MATCH("*"&amp;L87&amp;"*",'V8'!B$300:B$400,0)),"  ")</f>
        <v>  </v>
      </c>
      <c r="AH87" s="202"/>
      <c r="AI87" s="202"/>
      <c r="AJ87" s="222" t="str">
        <f>IF(AN87&gt;(AT$2-1),K87,"")</f>
        <v/>
      </c>
      <c r="AK87" s="223">
        <f>SUM(Z87:AI87)</f>
        <v>0</v>
      </c>
      <c r="AL87" s="224" t="str">
        <f>IFERROR("edasi "&amp;RANK(AJ87,AJ$7:AJ$126,1),K87)</f>
        <v/>
      </c>
      <c r="AM87" s="225" t="str">
        <f>IFERROR(INDEX(#REF!,MATCH("*"&amp;L87&amp;"*",#REF!,0)),"  ")</f>
        <v>  </v>
      </c>
      <c r="AN87" s="226">
        <f>COUNTIF(Z87:AI87,"&gt;=0")</f>
        <v>0</v>
      </c>
      <c r="AO87" s="126">
        <f>IFERROR(IF(Z87+1&gt;LARGE(Z$7:Z$126,1)-2*LEN(Z$5),1),0)+IFERROR(IF(AA87+1&gt;LARGE(AA$7:AA$126,1)-2*LEN(AA$5),1),0)+IFERROR(IF(AB87+1&gt;LARGE(AB$7:AB$126,1)-2*LEN(AB$5),1),0)+IFERROR(IF(AC87+1&gt;LARGE(AC$7:AC$126,1)-2*LEN(AC$5),1),0)+IFERROR(IF(AD87+1&gt;LARGE(AD$7:AD$126,1)-2*LEN(AD$5),1),0)+IFERROR(IF(AE87+1&gt;LARGE(AE$7:AE$126,1)-2*LEN(AE$5),1),0)+IFERROR(IF(AF87+1&gt;LARGE(AF$7:AF$126,1)-2*LEN(AF$5),1),0)+IFERROR(IF(AG87+1&gt;LARGE(AG$7:AG$126,1)-2*LEN(AG$5),1),0)+IFERROR(IF(AH87+1&gt;LARGE(AH$7:AH$126,1)-2*LEN(AH$5),1),0)+IFERROR(IF(AI87+1&gt;LARGE(AI$7:AI$126,1)-2*LEN(AI$5),1),0)</f>
        <v>0</v>
      </c>
      <c r="AP87" s="126">
        <f>IF(Z87=0,0,IF(Z87=IFERROR(LARGE(Z$7:Z$126,1),0),1,0))+IF(AA87=0,0,IF(AA87=IFERROR(LARGE(AA$7:AA$126,1),0),1,0))+IF(AB87=0,0,IF(AB87=IFERROR(LARGE(AB$7:AB$126,1),0),1,0))+IF(AC87=0,0,IF(AC87=IFERROR(LARGE(AC$7:AC$126,1),0),1,0))+IF(AD87=0,0,IF(AD87=IFERROR(LARGE(AD$7:AD$126,1),0),1,0))+IF(AE87=0,0,IF(AE87=IFERROR(LARGE(AE$7:AE$126,1),0),1,0))+IF(AF87=0,0,IF(AF87=IFERROR(LARGE(AF$7:AF$126,1),0),1,0))+IF(AG87=0,0,IF(AG87=IFERROR(LARGE(AG$7:AG$126,1),0),1,0))+IF(AH87=0,0,IF(AH87=IFERROR(LARGE(AH$7:AH$126,1),0),1,0))+IF(AI87=0,0,IF(AI87=IFERROR(LARGE(AI$7:AI$126,1),0),1,0))</f>
        <v>0</v>
      </c>
      <c r="AQ87" s="233"/>
      <c r="AR87" s="233"/>
      <c r="AS87" s="233"/>
      <c r="AT87" s="234">
        <f>SMALL(AU87:BD87,AT$3)</f>
        <v>0.0001</v>
      </c>
      <c r="AU87" s="235">
        <f>IF(Z87="  ",0+MID(Z$6,FIND("V",Z$6)+1,256)/10000,Z87+MID(Z$6,FIND("V",Z$6)+1,256)/10000)</f>
        <v>0.0001</v>
      </c>
      <c r="AV87" s="235">
        <f>IF(AA87="  ",0+MID(AA$6,FIND("V",AA$6)+1,256)/10000,AA87+MID(AA$6,FIND("V",AA$6)+1,256)/10000)</f>
        <v>0.0002</v>
      </c>
      <c r="AW87" s="235">
        <f>IF(AB87="  ",0+MID(AB$6,FIND("V",AB$6)+1,256)/10000,AB87+MID(AB$6,FIND("V",AB$6)+1,256)/10000)</f>
        <v>0.0003</v>
      </c>
      <c r="AX87" s="235">
        <f>IF(AC87="  ",0+MID(AC$6,FIND("V",AC$6)+1,256)/10000,AC87+MID(AC$6,FIND("V",AC$6)+1,256)/10000)</f>
        <v>0.0004</v>
      </c>
      <c r="AY87" s="235">
        <f>IF(AD87="  ",0+MID(AD$6,FIND("V",AD$6)+1,256)/10000,AD87+MID(AD$6,FIND("V",AD$6)+1,256)/10000)</f>
        <v>0.0005</v>
      </c>
      <c r="AZ87" s="235">
        <f>IF(AE87="  ",0+MID(AE$6,FIND("V",AE$6)+1,256)/10000,AE87+MID(AE$6,FIND("V",AE$6)+1,256)/10000)</f>
        <v>0.0006</v>
      </c>
      <c r="BA87" s="235">
        <f>IF(AF87="  ",0+MID(AF$6,FIND("V",AF$6)+1,256)/10000,AF87+MID(AF$6,FIND("V",AF$6)+1,256)/10000)</f>
        <v>0.0007</v>
      </c>
      <c r="BB87" s="235">
        <f>IF(AG87="  ",0+MID(AG$6,FIND("V",AG$6)+1,256)/10000,AG87+MID(AG$6,FIND("V",AG$6)+1,256)/10000)</f>
        <v>0.0008</v>
      </c>
      <c r="BC87" s="235">
        <f>IF(AH87="  ",0+MID(AH$6,FIND("V",AH$6)+1,256)/10000,AH87+MID(AH$6,FIND("V",AH$6)+1,256)/10000)</f>
        <v>0.0009</v>
      </c>
      <c r="BD87" s="235">
        <f>IF(AI87="  ",0+MID(AI$6,FIND("V",AI$6)+1,256)/10000,AI87+MID(AI$6,FIND("V",AI$6)+1,256)/10000)</f>
        <v>0.001</v>
      </c>
      <c r="BE87" s="233"/>
      <c r="BF87" s="233"/>
      <c r="BG87" s="233"/>
      <c r="BH87" s="233"/>
      <c r="BI87" s="3" t="e">
        <f>(LARGE(Z$7:Z$126,1)-Z87)/2+1</f>
        <v>#VALUE!</v>
      </c>
      <c r="BJ87" s="3" t="e">
        <f>(LARGE(AA$7:AA$126,1)-AA87)/2+1</f>
        <v>#VALUE!</v>
      </c>
      <c r="BK87" s="3" t="e">
        <f>(LARGE(AB$7:AB$126,1)-AB87)/2+1</f>
        <v>#VALUE!</v>
      </c>
      <c r="BL87" s="3" t="e">
        <f>(LARGE(AC$7:AC$126,1)-AC87)/2+1</f>
        <v>#VALUE!</v>
      </c>
      <c r="BM87" s="3" t="e">
        <f>(LARGE(AD$7:AD$126,1)-AD87)/2+1</f>
        <v>#VALUE!</v>
      </c>
      <c r="BN87" s="3" t="e">
        <f>(LARGE(AE$7:AE$126,1)-AE87)/2+1</f>
        <v>#VALUE!</v>
      </c>
      <c r="BO87" s="3" t="e">
        <f>(LARGE(AF$7:AF$126,1)-AF87)/2+1</f>
        <v>#VALUE!</v>
      </c>
      <c r="BP87" s="3" t="e">
        <f>(LARGE(AG$7:AG$126,1)-AG87)/2+1</f>
        <v>#VALUE!</v>
      </c>
      <c r="BQ87" s="3" t="e">
        <f>(LARGE(AH$7:AH$126,1)-AH87)/2+1</f>
        <v>#NUM!</v>
      </c>
      <c r="BR87" s="3" t="e">
        <f>(LARGE(AI$7:AI$126,1)-AI87)/2+1</f>
        <v>#NUM!</v>
      </c>
    </row>
    <row r="88" ht="12.75" hidden="1" customHeight="1" spans="1:70">
      <c r="A88" s="139" t="str">
        <f>IF(R88&gt;0,IF(Q88="Viru SK",RANK(B88,B$7:B$126,1)-COUNTIF((Q$7:Q$126),"&lt;&gt;Viru SK"),""),"")</f>
        <v/>
      </c>
      <c r="B88" s="140">
        <f>IF((Q88="Viru SK"),U88,U88-1000)</f>
        <v>120</v>
      </c>
      <c r="C88" s="141" t="str">
        <f>IF(R88&gt;0,IF(P88="t",RANK(D88,D$7:D$126,1)-COUNTBLANK(P$7:P$126),""),"")</f>
        <v/>
      </c>
      <c r="D88" s="142">
        <f>IF((P88="t"),U88,U88-1000)</f>
        <v>-880</v>
      </c>
      <c r="E88" s="143" t="str">
        <f>IF(R88&gt;0,IF(N88="m",RANK(F88,F$7:F$126,1)-COUNTBLANK(N$7:N$126),""),"")</f>
        <v/>
      </c>
      <c r="F88" s="144">
        <f>IF((N88="m"),U88,U88-1000)</f>
        <v>120</v>
      </c>
      <c r="G88" s="145" t="str">
        <f>IF(R88&gt;0,IF(M88="n",RANK(H88,H$7:H$126,1)-COUNTBLANK(M$7:M$126),""),"")</f>
        <v/>
      </c>
      <c r="H88" s="144">
        <f>IF((M88="n"),U88,U88-1000)</f>
        <v>-880</v>
      </c>
      <c r="I88" s="160" t="str">
        <f>IF(R88&gt;0,IF(O88="j",RANK(J88,J$7:J$126,1)-COUNTBLANK(O$7:O$126),""),"")</f>
        <v/>
      </c>
      <c r="J88" s="161">
        <f>IF((O88="j"),U88,U88-1000)</f>
        <v>-880</v>
      </c>
      <c r="K88" s="162" t="str">
        <f>IF(R88&gt;0,RANK(U88,U$7:U$126,1),"")</f>
        <v/>
      </c>
      <c r="L88" s="168" t="s">
        <v>279</v>
      </c>
      <c r="M88" s="164"/>
      <c r="N88" s="165" t="str">
        <f>IF(M88="","m","")</f>
        <v>m</v>
      </c>
      <c r="O88" s="166"/>
      <c r="P88" s="167"/>
      <c r="Q88" s="192" t="s">
        <v>171</v>
      </c>
      <c r="R88" s="154">
        <f>(IF(COUNT(Z88,AA88,AB88,AC88,AD88,AE88,AF88,AG88,AH88,AI88)&lt;10,SUM(Z88,AA88,AB88,AC88,AD88,AE88,AF88,AG88,AH88,AI88),SUM(LARGE((Z88,AA88,AB88,AC88,AD88,AE88,AF88,AG88,AH88,AI88),{1;2;3;4;5;6;7;8;9}))))</f>
        <v>0</v>
      </c>
      <c r="S88" s="193" t="str">
        <f>INDEX(ETAPP!B$1:B$32,MATCH(COUNTIF(BI88:BR88,1),ETAPP!A$1:A$32,0))&amp;INDEX(ETAPP!B$1:B$32,MATCH(COUNTIF(BI88:BR88,2),ETAPP!A$1:A$32,0))&amp;INDEX(ETAPP!B$1:B$32,MATCH(COUNTIF(BI88:BR88,3),ETAPP!A$1:A$32,0))&amp;INDEX(ETAPP!B$1:B$32,MATCH(COUNTIF(BI88:BR88,4),ETAPP!A$1:A$32,0))&amp;INDEX(ETAPP!B$1:B$32,MATCH(COUNTIF(BI88:BR88,5),ETAPP!A$1:A$32,0))&amp;INDEX(ETAPP!B$1:B$32,MATCH(COUNTIF(BI88:BR88,6),ETAPP!A$1:A$32,0))&amp;INDEX(ETAPP!B$1:B$32,MATCH(COUNTIF(BI88:BR88,7),ETAPP!A$1:A$32,0))&amp;INDEX(ETAPP!B$1:B$32,MATCH(COUNTIF(BI88:BR88,8),ETAPP!A$1:A$32,0))&amp;INDEX(ETAPP!B$1:B$32,MATCH(COUNTIF(BI88:BR88,9),ETAPP!A$1:A$32,0))&amp;INDEX(ETAPP!B$1:B$32,MATCH(COUNTIF(BI88:BR88,10),ETAPP!A$1:A$32,0))&amp;INDEX(ETAPP!B$1:B$32,MATCH(COUNTIF(BI88:BR88,11),ETAPP!A$1:A$32,0))&amp;INDEX(ETAPP!B$1:B$32,MATCH(COUNTIF(BI88:BR88,12),ETAPP!A$1:A$32,0))&amp;INDEX(ETAPP!B$1:B$32,MATCH(COUNTIF(BI88:BR88,13),ETAPP!A$1:A$32,0))&amp;INDEX(ETAPP!B$1:B$32,MATCH(COUNTIF(BI88:BR88,14),ETAPP!A$1:A$32,0))&amp;INDEX(ETAPP!B$1:B$32,MATCH(COUNTIF(BI88:BR88,15),ETAPP!A$1:A$32,0))&amp;INDEX(ETAPP!B$1:B$32,MATCH(COUNTIF(BI88:BR88,16),ETAPP!A$1:A$32,0))&amp;INDEX(ETAPP!B$1:B$32,MATCH(COUNTIF(BI88:BR88,17),ETAPP!A$1:A$32,0))&amp;INDEX(ETAPP!B$1:B$32,MATCH(COUNTIF(BI88:BR88,18),ETAPP!A$1:A$32,0))&amp;INDEX(ETAPP!B$1:B$32,MATCH(COUNTIF(BI88:BR88,19),ETAPP!A$1:A$32,0))&amp;INDEX(ETAPP!B$1:B$32,MATCH(COUNTIF(BI88:BR88,20),ETAPP!A$1:A$32,0))&amp;INDEX(ETAPP!B$1:B$32,MATCH(COUNTIF(BI88:BR88,21),ETAPP!A$1:A$32,0))</f>
        <v>000000000000000000000</v>
      </c>
      <c r="T88" s="193" t="str">
        <f>TEXT(R88,"000,0")&amp;"-"&amp;S88</f>
        <v>000,0-000000000000000000000</v>
      </c>
      <c r="U88" s="193">
        <f>COUNTIF(T$7:T$126,"&gt;="&amp;T88)</f>
        <v>120</v>
      </c>
      <c r="V88" s="193">
        <f>COUNTIF(L$7:L$126,"&gt;="&amp;L88)</f>
        <v>74</v>
      </c>
      <c r="W88" s="193" t="str">
        <f>TEXT(R88,"000,0")&amp;"-"&amp;S88&amp;"-"&amp;TEXT(V88,"000")</f>
        <v>000,0-000000000000000000000-074</v>
      </c>
      <c r="X88" s="193">
        <f>COUNTIF(W$7:W$126,"&gt;="&amp;W88)</f>
        <v>82</v>
      </c>
      <c r="Y88" s="201">
        <f>RANK(X88,X$7:X$126,0)</f>
        <v>39</v>
      </c>
      <c r="Z88" s="202" t="str">
        <f>IFERROR(INDEX('V1'!C$300:C$400,MATCH("*"&amp;L88&amp;"*",'V1'!B$300:B$400,0)),"  ")</f>
        <v>  </v>
      </c>
      <c r="AA88" s="202" t="str">
        <f>IFERROR(INDEX('V2'!C$300:C$400,MATCH("*"&amp;L88&amp;"*",'V2'!B$300:B$400,0)),"  ")</f>
        <v>  </v>
      </c>
      <c r="AB88" s="202" t="str">
        <f>IFERROR(INDEX('V3'!C$300:C$400,MATCH("*"&amp;L88&amp;"*",'V3'!B$300:B$400,0)),"  ")</f>
        <v>  </v>
      </c>
      <c r="AC88" s="202" t="str">
        <f>IFERROR(INDEX('V4'!C$300:C$400,MATCH("*"&amp;L88&amp;"*",'V4'!B$300:B$400,0)),"  ")</f>
        <v>  </v>
      </c>
      <c r="AD88" s="202" t="str">
        <f>IFERROR(INDEX('V5'!C$300:C$400,MATCH("*"&amp;L88&amp;"*",'V5'!B$300:B$400,0)),"  ")</f>
        <v>  </v>
      </c>
      <c r="AE88" s="202" t="str">
        <f>IFERROR(INDEX('V6'!C$300:C$400,MATCH("*"&amp;L88&amp;"*",'V6'!B$300:B$400,0)),"  ")</f>
        <v>  </v>
      </c>
      <c r="AF88" s="202" t="str">
        <f>IFERROR(INDEX('V7'!C$300:C$400,MATCH("*"&amp;L88&amp;"*",'V7'!B$300:B$400,0)),"  ")</f>
        <v>  </v>
      </c>
      <c r="AG88" s="202" t="str">
        <f>IFERROR(INDEX('V8'!C$300:C$400,MATCH("*"&amp;L88&amp;"*",'V8'!B$300:B$400,0)),"  ")</f>
        <v>  </v>
      </c>
      <c r="AH88" s="202"/>
      <c r="AI88" s="202"/>
      <c r="AJ88" s="222" t="str">
        <f>IF(AN88&gt;(AT$2-1),K88,"")</f>
        <v/>
      </c>
      <c r="AK88" s="223">
        <f>SUM(Z88:AI88)</f>
        <v>0</v>
      </c>
      <c r="AL88" s="224" t="str">
        <f>IFERROR("edasi "&amp;RANK(AJ88,AJ$7:AJ$126,1),K88)</f>
        <v/>
      </c>
      <c r="AM88" s="225" t="str">
        <f>IFERROR(INDEX(#REF!,MATCH("*"&amp;L88&amp;"*",#REF!,0)),"  ")</f>
        <v>  </v>
      </c>
      <c r="AN88" s="226">
        <f>COUNTIF(Z88:AI88,"&gt;=0")</f>
        <v>0</v>
      </c>
      <c r="AO88" s="126">
        <f>IFERROR(IF(Z88+1&gt;LARGE(Z$7:Z$126,1)-2*LEN(Z$5),1),0)+IFERROR(IF(AA88+1&gt;LARGE(AA$7:AA$126,1)-2*LEN(AA$5),1),0)+IFERROR(IF(AB88+1&gt;LARGE(AB$7:AB$126,1)-2*LEN(AB$5),1),0)+IFERROR(IF(AC88+1&gt;LARGE(AC$7:AC$126,1)-2*LEN(AC$5),1),0)+IFERROR(IF(AD88+1&gt;LARGE(AD$7:AD$126,1)-2*LEN(AD$5),1),0)+IFERROR(IF(AE88+1&gt;LARGE(AE$7:AE$126,1)-2*LEN(AE$5),1),0)+IFERROR(IF(AF88+1&gt;LARGE(AF$7:AF$126,1)-2*LEN(AF$5),1),0)+IFERROR(IF(AG88+1&gt;LARGE(AG$7:AG$126,1)-2*LEN(AG$5),1),0)+IFERROR(IF(AH88+1&gt;LARGE(AH$7:AH$126,1)-2*LEN(AH$5),1),0)+IFERROR(IF(AI88+1&gt;LARGE(AI$7:AI$126,1)-2*LEN(AI$5),1),0)</f>
        <v>0</v>
      </c>
      <c r="AP88" s="126">
        <f>IF(Z88=0,0,IF(Z88=IFERROR(LARGE(Z$7:Z$126,1),0),1,0))+IF(AA88=0,0,IF(AA88=IFERROR(LARGE(AA$7:AA$126,1),0),1,0))+IF(AB88=0,0,IF(AB88=IFERROR(LARGE(AB$7:AB$126,1),0),1,0))+IF(AC88=0,0,IF(AC88=IFERROR(LARGE(AC$7:AC$126,1),0),1,0))+IF(AD88=0,0,IF(AD88=IFERROR(LARGE(AD$7:AD$126,1),0),1,0))+IF(AE88=0,0,IF(AE88=IFERROR(LARGE(AE$7:AE$126,1),0),1,0))+IF(AF88=0,0,IF(AF88=IFERROR(LARGE(AF$7:AF$126,1),0),1,0))+IF(AG88=0,0,IF(AG88=IFERROR(LARGE(AG$7:AG$126,1),0),1,0))+IF(AH88=0,0,IF(AH88=IFERROR(LARGE(AH$7:AH$126,1),0),1,0))+IF(AI88=0,0,IF(AI88=IFERROR(LARGE(AI$7:AI$126,1),0),1,0))</f>
        <v>0</v>
      </c>
      <c r="AQ88" s="233"/>
      <c r="AR88" s="233"/>
      <c r="AS88" s="233"/>
      <c r="AT88" s="234">
        <f>SMALL(AU88:BD88,AT$3)</f>
        <v>0.0001</v>
      </c>
      <c r="AU88" s="235">
        <f>IF(Z88="  ",0+MID(Z$6,FIND("V",Z$6)+1,256)/10000,Z88+MID(Z$6,FIND("V",Z$6)+1,256)/10000)</f>
        <v>0.0001</v>
      </c>
      <c r="AV88" s="235">
        <f>IF(AA88="  ",0+MID(AA$6,FIND("V",AA$6)+1,256)/10000,AA88+MID(AA$6,FIND("V",AA$6)+1,256)/10000)</f>
        <v>0.0002</v>
      </c>
      <c r="AW88" s="235">
        <f>IF(AB88="  ",0+MID(AB$6,FIND("V",AB$6)+1,256)/10000,AB88+MID(AB$6,FIND("V",AB$6)+1,256)/10000)</f>
        <v>0.0003</v>
      </c>
      <c r="AX88" s="235">
        <f>IF(AC88="  ",0+MID(AC$6,FIND("V",AC$6)+1,256)/10000,AC88+MID(AC$6,FIND("V",AC$6)+1,256)/10000)</f>
        <v>0.0004</v>
      </c>
      <c r="AY88" s="235">
        <f>IF(AD88="  ",0+MID(AD$6,FIND("V",AD$6)+1,256)/10000,AD88+MID(AD$6,FIND("V",AD$6)+1,256)/10000)</f>
        <v>0.0005</v>
      </c>
      <c r="AZ88" s="235">
        <f>IF(AE88="  ",0+MID(AE$6,FIND("V",AE$6)+1,256)/10000,AE88+MID(AE$6,FIND("V",AE$6)+1,256)/10000)</f>
        <v>0.0006</v>
      </c>
      <c r="BA88" s="235">
        <f>IF(AF88="  ",0+MID(AF$6,FIND("V",AF$6)+1,256)/10000,AF88+MID(AF$6,FIND("V",AF$6)+1,256)/10000)</f>
        <v>0.0007</v>
      </c>
      <c r="BB88" s="235">
        <f>IF(AG88="  ",0+MID(AG$6,FIND("V",AG$6)+1,256)/10000,AG88+MID(AG$6,FIND("V",AG$6)+1,256)/10000)</f>
        <v>0.0008</v>
      </c>
      <c r="BC88" s="235">
        <f>IF(AH88="  ",0+MID(AH$6,FIND("V",AH$6)+1,256)/10000,AH88+MID(AH$6,FIND("V",AH$6)+1,256)/10000)</f>
        <v>0.0009</v>
      </c>
      <c r="BD88" s="235">
        <f>IF(AI88="  ",0+MID(AI$6,FIND("V",AI$6)+1,256)/10000,AI88+MID(AI$6,FIND("V",AI$6)+1,256)/10000)</f>
        <v>0.001</v>
      </c>
      <c r="BE88" s="233"/>
      <c r="BF88" s="233"/>
      <c r="BG88" s="233"/>
      <c r="BH88" s="233"/>
      <c r="BI88" s="3" t="e">
        <f>(LARGE(Z$7:Z$126,1)-Z88)/2+1</f>
        <v>#VALUE!</v>
      </c>
      <c r="BJ88" s="3" t="e">
        <f>(LARGE(AA$7:AA$126,1)-AA88)/2+1</f>
        <v>#VALUE!</v>
      </c>
      <c r="BK88" s="3" t="e">
        <f>(LARGE(AB$7:AB$126,1)-AB88)/2+1</f>
        <v>#VALUE!</v>
      </c>
      <c r="BL88" s="3" t="e">
        <f>(LARGE(AC$7:AC$126,1)-AC88)/2+1</f>
        <v>#VALUE!</v>
      </c>
      <c r="BM88" s="3" t="e">
        <f>(LARGE(AD$7:AD$126,1)-AD88)/2+1</f>
        <v>#VALUE!</v>
      </c>
      <c r="BN88" s="3" t="e">
        <f>(LARGE(AE$7:AE$126,1)-AE88)/2+1</f>
        <v>#VALUE!</v>
      </c>
      <c r="BO88" s="3" t="e">
        <f>(LARGE(AF$7:AF$126,1)-AF88)/2+1</f>
        <v>#VALUE!</v>
      </c>
      <c r="BP88" s="3" t="e">
        <f>(LARGE(AG$7:AG$126,1)-AG88)/2+1</f>
        <v>#VALUE!</v>
      </c>
      <c r="BQ88" s="3" t="e">
        <f>(LARGE(AH$7:AH$126,1)-AH88)/2+1</f>
        <v>#NUM!</v>
      </c>
      <c r="BR88" s="3" t="e">
        <f>(LARGE(AI$7:AI$126,1)-AI88)/2+1</f>
        <v>#NUM!</v>
      </c>
    </row>
    <row r="89" ht="12.75" hidden="1" customHeight="1" spans="1:70">
      <c r="A89" s="139" t="str">
        <f>IF(R89&gt;0,IF(Q89="Viru SK",RANK(B89,B$7:B$126,1)-COUNTIF((Q$7:Q$126),"&lt;&gt;Viru SK"),""),"")</f>
        <v/>
      </c>
      <c r="B89" s="140">
        <f>IF((Q89="Viru SK"),U89,U89-1000)</f>
        <v>120</v>
      </c>
      <c r="C89" s="141" t="str">
        <f>IF(R89&gt;0,IF(P89="t",RANK(D89,D$7:D$126,1)-COUNTBLANK(P$7:P$126),""),"")</f>
        <v/>
      </c>
      <c r="D89" s="142">
        <f>IF((P89="t"),U89,U89-1000)</f>
        <v>-880</v>
      </c>
      <c r="E89" s="143" t="str">
        <f>IF(R89&gt;0,IF(N89="m",RANK(F89,F$7:F$126,1)-COUNTBLANK(N$7:N$126),""),"")</f>
        <v/>
      </c>
      <c r="F89" s="144">
        <f>IF((N89="m"),U89,U89-1000)</f>
        <v>-880</v>
      </c>
      <c r="G89" s="145" t="str">
        <f>IF(R89&gt;0,IF(M89="n",RANK(H89,H$7:H$126,1)-COUNTBLANK(M$7:M$126),""),"")</f>
        <v/>
      </c>
      <c r="H89" s="144">
        <f>IF((M89="n"),U89,U89-1000)</f>
        <v>120</v>
      </c>
      <c r="I89" s="160" t="str">
        <f>IF(R89&gt;0,IF(O89="j",RANK(J89,J$7:J$126,1)-COUNTBLANK(O$7:O$126),""),"")</f>
        <v/>
      </c>
      <c r="J89" s="161">
        <f>IF((O89="j"),U89,U89-1000)</f>
        <v>-880</v>
      </c>
      <c r="K89" s="162" t="str">
        <f>IF(R89&gt;0,RANK(U89,U$7:U$126,1),"")</f>
        <v/>
      </c>
      <c r="L89" s="163" t="s">
        <v>280</v>
      </c>
      <c r="M89" s="164" t="s">
        <v>203</v>
      </c>
      <c r="N89" s="165"/>
      <c r="O89" s="166"/>
      <c r="P89" s="167"/>
      <c r="Q89" s="192" t="s">
        <v>171</v>
      </c>
      <c r="R89" s="154">
        <f>(IF(COUNT(Z89,AA89,AB89,AC89,AD89,AE89,AF89,AG89,AH89,AI89)&lt;10,SUM(Z89,AA89,AB89,AC89,AD89,AE89,AF89,AG89,AH89,AI89),SUM(LARGE((Z89,AA89,AB89,AC89,AD89,AE89,AF89,AG89,AH89,AI89),{1;2;3;4;5;6;7;8;9}))))</f>
        <v>0</v>
      </c>
      <c r="S89" s="193" t="str">
        <f>INDEX(ETAPP!B$1:B$32,MATCH(COUNTIF(BI89:BR89,1),ETAPP!A$1:A$32,0))&amp;INDEX(ETAPP!B$1:B$32,MATCH(COUNTIF(BI89:BR89,2),ETAPP!A$1:A$32,0))&amp;INDEX(ETAPP!B$1:B$32,MATCH(COUNTIF(BI89:BR89,3),ETAPP!A$1:A$32,0))&amp;INDEX(ETAPP!B$1:B$32,MATCH(COUNTIF(BI89:BR89,4),ETAPP!A$1:A$32,0))&amp;INDEX(ETAPP!B$1:B$32,MATCH(COUNTIF(BI89:BR89,5),ETAPP!A$1:A$32,0))&amp;INDEX(ETAPP!B$1:B$32,MATCH(COUNTIF(BI89:BR89,6),ETAPP!A$1:A$32,0))&amp;INDEX(ETAPP!B$1:B$32,MATCH(COUNTIF(BI89:BR89,7),ETAPP!A$1:A$32,0))&amp;INDEX(ETAPP!B$1:B$32,MATCH(COUNTIF(BI89:BR89,8),ETAPP!A$1:A$32,0))&amp;INDEX(ETAPP!B$1:B$32,MATCH(COUNTIF(BI89:BR89,9),ETAPP!A$1:A$32,0))&amp;INDEX(ETAPP!B$1:B$32,MATCH(COUNTIF(BI89:BR89,10),ETAPP!A$1:A$32,0))&amp;INDEX(ETAPP!B$1:B$32,MATCH(COUNTIF(BI89:BR89,11),ETAPP!A$1:A$32,0))&amp;INDEX(ETAPP!B$1:B$32,MATCH(COUNTIF(BI89:BR89,12),ETAPP!A$1:A$32,0))&amp;INDEX(ETAPP!B$1:B$32,MATCH(COUNTIF(BI89:BR89,13),ETAPP!A$1:A$32,0))&amp;INDEX(ETAPP!B$1:B$32,MATCH(COUNTIF(BI89:BR89,14),ETAPP!A$1:A$32,0))&amp;INDEX(ETAPP!B$1:B$32,MATCH(COUNTIF(BI89:BR89,15),ETAPP!A$1:A$32,0))&amp;INDEX(ETAPP!B$1:B$32,MATCH(COUNTIF(BI89:BR89,16),ETAPP!A$1:A$32,0))&amp;INDEX(ETAPP!B$1:B$32,MATCH(COUNTIF(BI89:BR89,17),ETAPP!A$1:A$32,0))&amp;INDEX(ETAPP!B$1:B$32,MATCH(COUNTIF(BI89:BR89,18),ETAPP!A$1:A$32,0))&amp;INDEX(ETAPP!B$1:B$32,MATCH(COUNTIF(BI89:BR89,19),ETAPP!A$1:A$32,0))&amp;INDEX(ETAPP!B$1:B$32,MATCH(COUNTIF(BI89:BR89,20),ETAPP!A$1:A$32,0))&amp;INDEX(ETAPP!B$1:B$32,MATCH(COUNTIF(BI89:BR89,21),ETAPP!A$1:A$32,0))</f>
        <v>000000000000000000000</v>
      </c>
      <c r="T89" s="193" t="str">
        <f>TEXT(R89,"000,0")&amp;"-"&amp;S89</f>
        <v>000,0-000000000000000000000</v>
      </c>
      <c r="U89" s="193">
        <f>COUNTIF(T$7:T$126,"&gt;="&amp;T89)</f>
        <v>120</v>
      </c>
      <c r="V89" s="193">
        <f>COUNTIF(L$7:L$126,"&gt;="&amp;L89)</f>
        <v>73</v>
      </c>
      <c r="W89" s="193" t="str">
        <f>TEXT(R89,"000,0")&amp;"-"&amp;S89&amp;"-"&amp;TEXT(V89,"000")</f>
        <v>000,0-000000000000000000000-073</v>
      </c>
      <c r="X89" s="193">
        <f>COUNTIF(W$7:W$126,"&gt;="&amp;W89)</f>
        <v>83</v>
      </c>
      <c r="Y89" s="201">
        <f>RANK(X89,X$7:X$126,0)</f>
        <v>38</v>
      </c>
      <c r="Z89" s="202" t="str">
        <f>IFERROR(INDEX('V1'!C$300:C$400,MATCH("*"&amp;L89&amp;"*",'V1'!B$300:B$400,0)),"  ")</f>
        <v>  </v>
      </c>
      <c r="AA89" s="202" t="str">
        <f>IFERROR(INDEX('V2'!C$300:C$400,MATCH("*"&amp;L89&amp;"*",'V2'!B$300:B$400,0)),"  ")</f>
        <v>  </v>
      </c>
      <c r="AB89" s="202" t="str">
        <f>IFERROR(INDEX('V3'!C$300:C$400,MATCH("*"&amp;L89&amp;"*",'V3'!B$300:B$400,0)),"  ")</f>
        <v>  </v>
      </c>
      <c r="AC89" s="202" t="str">
        <f>IFERROR(INDEX('V4'!C$300:C$400,MATCH("*"&amp;L89&amp;"*",'V4'!B$300:B$400,0)),"  ")</f>
        <v>  </v>
      </c>
      <c r="AD89" s="202" t="str">
        <f>IFERROR(INDEX('V5'!C$300:C$400,MATCH("*"&amp;L89&amp;"*",'V5'!B$300:B$400,0)),"  ")</f>
        <v>  </v>
      </c>
      <c r="AE89" s="202" t="str">
        <f>IFERROR(INDEX('V6'!C$300:C$400,MATCH("*"&amp;L89&amp;"*",'V6'!B$300:B$400,0)),"  ")</f>
        <v>  </v>
      </c>
      <c r="AF89" s="202" t="str">
        <f>IFERROR(INDEX('V7'!C$300:C$400,MATCH("*"&amp;L89&amp;"*",'V7'!B$300:B$400,0)),"  ")</f>
        <v>  </v>
      </c>
      <c r="AG89" s="202" t="str">
        <f>IFERROR(INDEX('V8'!C$300:C$400,MATCH("*"&amp;L89&amp;"*",'V8'!B$300:B$400,0)),"  ")</f>
        <v>  </v>
      </c>
      <c r="AH89" s="202"/>
      <c r="AI89" s="202"/>
      <c r="AJ89" s="222" t="str">
        <f>IF(AN89&gt;(AT$2-1),K89,"")</f>
        <v/>
      </c>
      <c r="AK89" s="223">
        <f>SUM(Z89:AI89)</f>
        <v>0</v>
      </c>
      <c r="AL89" s="224" t="str">
        <f>IFERROR("edasi "&amp;RANK(AJ89,AJ$7:AJ$126,1),K89)</f>
        <v/>
      </c>
      <c r="AM89" s="225" t="str">
        <f>IFERROR(INDEX(#REF!,MATCH("*"&amp;L89&amp;"*",#REF!,0)),"  ")</f>
        <v>  </v>
      </c>
      <c r="AN89" s="226">
        <f>COUNTIF(Z89:AI89,"&gt;=0")</f>
        <v>0</v>
      </c>
      <c r="AO89" s="126">
        <f>IFERROR(IF(Z89+1&gt;LARGE(Z$7:Z$126,1)-2*LEN(Z$5),1),0)+IFERROR(IF(AA89+1&gt;LARGE(AA$7:AA$126,1)-2*LEN(AA$5),1),0)+IFERROR(IF(AB89+1&gt;LARGE(AB$7:AB$126,1)-2*LEN(AB$5),1),0)+IFERROR(IF(AC89+1&gt;LARGE(AC$7:AC$126,1)-2*LEN(AC$5),1),0)+IFERROR(IF(AD89+1&gt;LARGE(AD$7:AD$126,1)-2*LEN(AD$5),1),0)+IFERROR(IF(AE89+1&gt;LARGE(AE$7:AE$126,1)-2*LEN(AE$5),1),0)+IFERROR(IF(AF89+1&gt;LARGE(AF$7:AF$126,1)-2*LEN(AF$5),1),0)+IFERROR(IF(AG89+1&gt;LARGE(AG$7:AG$126,1)-2*LEN(AG$5),1),0)+IFERROR(IF(AH89+1&gt;LARGE(AH$7:AH$126,1)-2*LEN(AH$5),1),0)+IFERROR(IF(AI89+1&gt;LARGE(AI$7:AI$126,1)-2*LEN(AI$5),1),0)</f>
        <v>0</v>
      </c>
      <c r="AP89" s="126">
        <f>IF(Z89=0,0,IF(Z89=IFERROR(LARGE(Z$7:Z$126,1),0),1,0))+IF(AA89=0,0,IF(AA89=IFERROR(LARGE(AA$7:AA$126,1),0),1,0))+IF(AB89=0,0,IF(AB89=IFERROR(LARGE(AB$7:AB$126,1),0),1,0))+IF(AC89=0,0,IF(AC89=IFERROR(LARGE(AC$7:AC$126,1),0),1,0))+IF(AD89=0,0,IF(AD89=IFERROR(LARGE(AD$7:AD$126,1),0),1,0))+IF(AE89=0,0,IF(AE89=IFERROR(LARGE(AE$7:AE$126,1),0),1,0))+IF(AF89=0,0,IF(AF89=IFERROR(LARGE(AF$7:AF$126,1),0),1,0))+IF(AG89=0,0,IF(AG89=IFERROR(LARGE(AG$7:AG$126,1),0),1,0))+IF(AH89=0,0,IF(AH89=IFERROR(LARGE(AH$7:AH$126,1),0),1,0))+IF(AI89=0,0,IF(AI89=IFERROR(LARGE(AI$7:AI$126,1),0),1,0))</f>
        <v>0</v>
      </c>
      <c r="AQ89" s="233"/>
      <c r="AR89" s="233"/>
      <c r="AS89" s="233"/>
      <c r="AT89" s="234">
        <f>SMALL(AU89:BD89,AT$3)</f>
        <v>0.0001</v>
      </c>
      <c r="AU89" s="235">
        <f>IF(Z89="  ",0+MID(Z$6,FIND("V",Z$6)+1,256)/10000,Z89+MID(Z$6,FIND("V",Z$6)+1,256)/10000)</f>
        <v>0.0001</v>
      </c>
      <c r="AV89" s="235">
        <f>IF(AA89="  ",0+MID(AA$6,FIND("V",AA$6)+1,256)/10000,AA89+MID(AA$6,FIND("V",AA$6)+1,256)/10000)</f>
        <v>0.0002</v>
      </c>
      <c r="AW89" s="235">
        <f>IF(AB89="  ",0+MID(AB$6,FIND("V",AB$6)+1,256)/10000,AB89+MID(AB$6,FIND("V",AB$6)+1,256)/10000)</f>
        <v>0.0003</v>
      </c>
      <c r="AX89" s="235">
        <f>IF(AC89="  ",0+MID(AC$6,FIND("V",AC$6)+1,256)/10000,AC89+MID(AC$6,FIND("V",AC$6)+1,256)/10000)</f>
        <v>0.0004</v>
      </c>
      <c r="AY89" s="235">
        <f>IF(AD89="  ",0+MID(AD$6,FIND("V",AD$6)+1,256)/10000,AD89+MID(AD$6,FIND("V",AD$6)+1,256)/10000)</f>
        <v>0.0005</v>
      </c>
      <c r="AZ89" s="235">
        <f>IF(AE89="  ",0+MID(AE$6,FIND("V",AE$6)+1,256)/10000,AE89+MID(AE$6,FIND("V",AE$6)+1,256)/10000)</f>
        <v>0.0006</v>
      </c>
      <c r="BA89" s="235">
        <f>IF(AF89="  ",0+MID(AF$6,FIND("V",AF$6)+1,256)/10000,AF89+MID(AF$6,FIND("V",AF$6)+1,256)/10000)</f>
        <v>0.0007</v>
      </c>
      <c r="BB89" s="235">
        <f>IF(AG89="  ",0+MID(AG$6,FIND("V",AG$6)+1,256)/10000,AG89+MID(AG$6,FIND("V",AG$6)+1,256)/10000)</f>
        <v>0.0008</v>
      </c>
      <c r="BC89" s="235">
        <f>IF(AH89="  ",0+MID(AH$6,FIND("V",AH$6)+1,256)/10000,AH89+MID(AH$6,FIND("V",AH$6)+1,256)/10000)</f>
        <v>0.0009</v>
      </c>
      <c r="BD89" s="235">
        <f>IF(AI89="  ",0+MID(AI$6,FIND("V",AI$6)+1,256)/10000,AI89+MID(AI$6,FIND("V",AI$6)+1,256)/10000)</f>
        <v>0.001</v>
      </c>
      <c r="BE89" s="233"/>
      <c r="BF89" s="233"/>
      <c r="BG89" s="233"/>
      <c r="BH89" s="233"/>
      <c r="BI89" s="3" t="e">
        <f>(LARGE(Z$7:Z$126,1)-Z89)/2+1</f>
        <v>#VALUE!</v>
      </c>
      <c r="BJ89" s="3" t="e">
        <f>(LARGE(AA$7:AA$126,1)-AA89)/2+1</f>
        <v>#VALUE!</v>
      </c>
      <c r="BK89" s="3" t="e">
        <f>(LARGE(AB$7:AB$126,1)-AB89)/2+1</f>
        <v>#VALUE!</v>
      </c>
      <c r="BL89" s="3" t="e">
        <f>(LARGE(AC$7:AC$126,1)-AC89)/2+1</f>
        <v>#VALUE!</v>
      </c>
      <c r="BM89" s="3" t="e">
        <f>(LARGE(AD$7:AD$126,1)-AD89)/2+1</f>
        <v>#VALUE!</v>
      </c>
      <c r="BN89" s="3" t="e">
        <f>(LARGE(AE$7:AE$126,1)-AE89)/2+1</f>
        <v>#VALUE!</v>
      </c>
      <c r="BO89" s="3" t="e">
        <f>(LARGE(AF$7:AF$126,1)-AF89)/2+1</f>
        <v>#VALUE!</v>
      </c>
      <c r="BP89" s="3" t="e">
        <f>(LARGE(AG$7:AG$126,1)-AG89)/2+1</f>
        <v>#VALUE!</v>
      </c>
      <c r="BQ89" s="3" t="e">
        <f>(LARGE(AH$7:AH$126,1)-AH89)/2+1</f>
        <v>#NUM!</v>
      </c>
      <c r="BR89" s="3" t="e">
        <f>(LARGE(AI$7:AI$126,1)-AI89)/2+1</f>
        <v>#NUM!</v>
      </c>
    </row>
    <row r="90" ht="12.75" hidden="1" customHeight="1" spans="1:70">
      <c r="A90" s="139" t="str">
        <f>IF(R90&gt;0,IF(Q90="Viru SK",RANK(B90,B$7:B$126,1)-COUNTIF((Q$7:Q$126),"&lt;&gt;Viru SK"),""),"")</f>
        <v/>
      </c>
      <c r="B90" s="140">
        <f>IF((Q90="Viru SK"),U90,U90-1000)</f>
        <v>120</v>
      </c>
      <c r="C90" s="141" t="str">
        <f>IF(R90&gt;0,IF(P90="t",RANK(D90,D$7:D$126,1)-COUNTBLANK(P$7:P$126),""),"")</f>
        <v/>
      </c>
      <c r="D90" s="142">
        <f>IF((P90="t"),U90,U90-1000)</f>
        <v>-880</v>
      </c>
      <c r="E90" s="143" t="str">
        <f>IF(R90&gt;0,IF(N90="m",RANK(F90,F$7:F$126,1)-COUNTBLANK(N$7:N$126),""),"")</f>
        <v/>
      </c>
      <c r="F90" s="144">
        <f>IF((N90="m"),U90,U90-1000)</f>
        <v>-880</v>
      </c>
      <c r="G90" s="145" t="str">
        <f>IF(R90&gt;0,IF(M90="n",RANK(H90,H$7:H$126,1)-COUNTBLANK(M$7:M$126),""),"")</f>
        <v/>
      </c>
      <c r="H90" s="144">
        <f>IF((M90="n"),U90,U90-1000)</f>
        <v>120</v>
      </c>
      <c r="I90" s="160" t="str">
        <f>IF(R90&gt;0,IF(O90="j",RANK(J90,J$7:J$126,1)-COUNTBLANK(O$7:O$126),""),"")</f>
        <v/>
      </c>
      <c r="J90" s="161">
        <f>IF((O90="j"),U90,U90-1000)</f>
        <v>-880</v>
      </c>
      <c r="K90" s="162" t="str">
        <f>IF(R90&gt;0,RANK(U90,U$7:U$126,1),"")</f>
        <v/>
      </c>
      <c r="L90" s="168" t="s">
        <v>281</v>
      </c>
      <c r="M90" s="164" t="s">
        <v>203</v>
      </c>
      <c r="N90" s="165" t="str">
        <f>IF(M90="","m","")</f>
        <v/>
      </c>
      <c r="O90" s="166"/>
      <c r="P90" s="167"/>
      <c r="Q90" s="192" t="s">
        <v>171</v>
      </c>
      <c r="R90" s="154">
        <f>(IF(COUNT(Z90,AA90,AB90,AC90,AD90,AE90,AF90,AG90,AH90,AI90)&lt;10,SUM(Z90,AA90,AB90,AC90,AD90,AE90,AF90,AG90,AH90,AI90),SUM(LARGE((Z90,AA90,AB90,AC90,AD90,AE90,AF90,AG90,AH90,AI90),{1;2;3;4;5;6;7;8;9}))))</f>
        <v>0</v>
      </c>
      <c r="S90" s="193" t="str">
        <f>INDEX(ETAPP!B$1:B$32,MATCH(COUNTIF(BI90:BR90,1),ETAPP!A$1:A$32,0))&amp;INDEX(ETAPP!B$1:B$32,MATCH(COUNTIF(BI90:BR90,2),ETAPP!A$1:A$32,0))&amp;INDEX(ETAPP!B$1:B$32,MATCH(COUNTIF(BI90:BR90,3),ETAPP!A$1:A$32,0))&amp;INDEX(ETAPP!B$1:B$32,MATCH(COUNTIF(BI90:BR90,4),ETAPP!A$1:A$32,0))&amp;INDEX(ETAPP!B$1:B$32,MATCH(COUNTIF(BI90:BR90,5),ETAPP!A$1:A$32,0))&amp;INDEX(ETAPP!B$1:B$32,MATCH(COUNTIF(BI90:BR90,6),ETAPP!A$1:A$32,0))&amp;INDEX(ETAPP!B$1:B$32,MATCH(COUNTIF(BI90:BR90,7),ETAPP!A$1:A$32,0))&amp;INDEX(ETAPP!B$1:B$32,MATCH(COUNTIF(BI90:BR90,8),ETAPP!A$1:A$32,0))&amp;INDEX(ETAPP!B$1:B$32,MATCH(COUNTIF(BI90:BR90,9),ETAPP!A$1:A$32,0))&amp;INDEX(ETAPP!B$1:B$32,MATCH(COUNTIF(BI90:BR90,10),ETAPP!A$1:A$32,0))&amp;INDEX(ETAPP!B$1:B$32,MATCH(COUNTIF(BI90:BR90,11),ETAPP!A$1:A$32,0))&amp;INDEX(ETAPP!B$1:B$32,MATCH(COUNTIF(BI90:BR90,12),ETAPP!A$1:A$32,0))&amp;INDEX(ETAPP!B$1:B$32,MATCH(COUNTIF(BI90:BR90,13),ETAPP!A$1:A$32,0))&amp;INDEX(ETAPP!B$1:B$32,MATCH(COUNTIF(BI90:BR90,14),ETAPP!A$1:A$32,0))&amp;INDEX(ETAPP!B$1:B$32,MATCH(COUNTIF(BI90:BR90,15),ETAPP!A$1:A$32,0))&amp;INDEX(ETAPP!B$1:B$32,MATCH(COUNTIF(BI90:BR90,16),ETAPP!A$1:A$32,0))&amp;INDEX(ETAPP!B$1:B$32,MATCH(COUNTIF(BI90:BR90,17),ETAPP!A$1:A$32,0))&amp;INDEX(ETAPP!B$1:B$32,MATCH(COUNTIF(BI90:BR90,18),ETAPP!A$1:A$32,0))&amp;INDEX(ETAPP!B$1:B$32,MATCH(COUNTIF(BI90:BR90,19),ETAPP!A$1:A$32,0))&amp;INDEX(ETAPP!B$1:B$32,MATCH(COUNTIF(BI90:BR90,20),ETAPP!A$1:A$32,0))&amp;INDEX(ETAPP!B$1:B$32,MATCH(COUNTIF(BI90:BR90,21),ETAPP!A$1:A$32,0))</f>
        <v>000000000000000000000</v>
      </c>
      <c r="T90" s="193" t="str">
        <f>TEXT(R90,"000,0")&amp;"-"&amp;S90</f>
        <v>000,0-000000000000000000000</v>
      </c>
      <c r="U90" s="193">
        <f>COUNTIF(T$7:T$126,"&gt;="&amp;T90)</f>
        <v>120</v>
      </c>
      <c r="V90" s="193">
        <f>COUNTIF(L$7:L$126,"&gt;="&amp;L90)</f>
        <v>71</v>
      </c>
      <c r="W90" s="193" t="str">
        <f>TEXT(R90,"000,0")&amp;"-"&amp;S90&amp;"-"&amp;TEXT(V90,"000")</f>
        <v>000,0-000000000000000000000-071</v>
      </c>
      <c r="X90" s="193">
        <f>COUNTIF(W$7:W$126,"&gt;="&amp;W90)</f>
        <v>84</v>
      </c>
      <c r="Y90" s="201">
        <f>RANK(X90,X$7:X$126,0)</f>
        <v>37</v>
      </c>
      <c r="Z90" s="202" t="str">
        <f>IFERROR(INDEX('V1'!C$300:C$400,MATCH("*"&amp;L90&amp;"*",'V1'!B$300:B$400,0)),"  ")</f>
        <v>  </v>
      </c>
      <c r="AA90" s="202" t="str">
        <f>IFERROR(INDEX('V2'!C$300:C$400,MATCH("*"&amp;L90&amp;"*",'V2'!B$300:B$400,0)),"  ")</f>
        <v>  </v>
      </c>
      <c r="AB90" s="202" t="str">
        <f>IFERROR(INDEX('V3'!C$300:C$400,MATCH("*"&amp;L90&amp;"*",'V3'!B$300:B$400,0)),"  ")</f>
        <v>  </v>
      </c>
      <c r="AC90" s="202" t="str">
        <f>IFERROR(INDEX('V4'!C$300:C$400,MATCH("*"&amp;L90&amp;"*",'V4'!B$300:B$400,0)),"  ")</f>
        <v>  </v>
      </c>
      <c r="AD90" s="202" t="str">
        <f>IFERROR(INDEX('V5'!C$300:C$400,MATCH("*"&amp;L90&amp;"*",'V5'!B$300:B$400,0)),"  ")</f>
        <v>  </v>
      </c>
      <c r="AE90" s="202" t="str">
        <f>IFERROR(INDEX('V6'!C$300:C$400,MATCH("*"&amp;L90&amp;"*",'V6'!B$300:B$400,0)),"  ")</f>
        <v>  </v>
      </c>
      <c r="AF90" s="202" t="str">
        <f>IFERROR(INDEX('V7'!C$300:C$400,MATCH("*"&amp;L90&amp;"*",'V7'!B$300:B$400,0)),"  ")</f>
        <v>  </v>
      </c>
      <c r="AG90" s="202" t="str">
        <f>IFERROR(INDEX('V8'!C$300:C$400,MATCH("*"&amp;L90&amp;"*",'V8'!B$300:B$400,0)),"  ")</f>
        <v>  </v>
      </c>
      <c r="AH90" s="202"/>
      <c r="AI90" s="202"/>
      <c r="AJ90" s="222" t="str">
        <f>IF(AN90&gt;(AT$2-1),K90,"")</f>
        <v/>
      </c>
      <c r="AK90" s="223">
        <f>SUM(Z90:AI90)</f>
        <v>0</v>
      </c>
      <c r="AL90" s="224" t="str">
        <f>IFERROR("edasi "&amp;RANK(AJ90,AJ$7:AJ$126,1),K90)</f>
        <v/>
      </c>
      <c r="AM90" s="225" t="str">
        <f>IFERROR(INDEX(#REF!,MATCH("*"&amp;L90&amp;"*",#REF!,0)),"  ")</f>
        <v>  </v>
      </c>
      <c r="AN90" s="226">
        <f>COUNTIF(Z90:AI90,"&gt;=0")</f>
        <v>0</v>
      </c>
      <c r="AO90" s="126">
        <f>IFERROR(IF(Z90+1&gt;LARGE(Z$7:Z$126,1)-2*LEN(Z$5),1),0)+IFERROR(IF(AA90+1&gt;LARGE(AA$7:AA$126,1)-2*LEN(AA$5),1),0)+IFERROR(IF(AB90+1&gt;LARGE(AB$7:AB$126,1)-2*LEN(AB$5),1),0)+IFERROR(IF(AC90+1&gt;LARGE(AC$7:AC$126,1)-2*LEN(AC$5),1),0)+IFERROR(IF(AD90+1&gt;LARGE(AD$7:AD$126,1)-2*LEN(AD$5),1),0)+IFERROR(IF(AE90+1&gt;LARGE(AE$7:AE$126,1)-2*LEN(AE$5),1),0)+IFERROR(IF(AF90+1&gt;LARGE(AF$7:AF$126,1)-2*LEN(AF$5),1),0)+IFERROR(IF(AG90+1&gt;LARGE(AG$7:AG$126,1)-2*LEN(AG$5),1),0)+IFERROR(IF(AH90+1&gt;LARGE(AH$7:AH$126,1)-2*LEN(AH$5),1),0)+IFERROR(IF(AI90+1&gt;LARGE(AI$7:AI$126,1)-2*LEN(AI$5),1),0)</f>
        <v>0</v>
      </c>
      <c r="AP90" s="126">
        <f>IF(Z90=0,0,IF(Z90=IFERROR(LARGE(Z$7:Z$126,1),0),1,0))+IF(AA90=0,0,IF(AA90=IFERROR(LARGE(AA$7:AA$126,1),0),1,0))+IF(AB90=0,0,IF(AB90=IFERROR(LARGE(AB$7:AB$126,1),0),1,0))+IF(AC90=0,0,IF(AC90=IFERROR(LARGE(AC$7:AC$126,1),0),1,0))+IF(AD90=0,0,IF(AD90=IFERROR(LARGE(AD$7:AD$126,1),0),1,0))+IF(AE90=0,0,IF(AE90=IFERROR(LARGE(AE$7:AE$126,1),0),1,0))+IF(AF90=0,0,IF(AF90=IFERROR(LARGE(AF$7:AF$126,1),0),1,0))+IF(AG90=0,0,IF(AG90=IFERROR(LARGE(AG$7:AG$126,1),0),1,0))+IF(AH90=0,0,IF(AH90=IFERROR(LARGE(AH$7:AH$126,1),0),1,0))+IF(AI90=0,0,IF(AI90=IFERROR(LARGE(AI$7:AI$126,1),0),1,0))</f>
        <v>0</v>
      </c>
      <c r="AQ90" s="233"/>
      <c r="AR90" s="233"/>
      <c r="AS90" s="233"/>
      <c r="AT90" s="234">
        <f>SMALL(AU90:BD90,AT$3)</f>
        <v>0.0001</v>
      </c>
      <c r="AU90" s="235">
        <f>IF(Z90="  ",0+MID(Z$6,FIND("V",Z$6)+1,256)/10000,Z90+MID(Z$6,FIND("V",Z$6)+1,256)/10000)</f>
        <v>0.0001</v>
      </c>
      <c r="AV90" s="235">
        <f>IF(AA90="  ",0+MID(AA$6,FIND("V",AA$6)+1,256)/10000,AA90+MID(AA$6,FIND("V",AA$6)+1,256)/10000)</f>
        <v>0.0002</v>
      </c>
      <c r="AW90" s="235">
        <f>IF(AB90="  ",0+MID(AB$6,FIND("V",AB$6)+1,256)/10000,AB90+MID(AB$6,FIND("V",AB$6)+1,256)/10000)</f>
        <v>0.0003</v>
      </c>
      <c r="AX90" s="235">
        <f>IF(AC90="  ",0+MID(AC$6,FIND("V",AC$6)+1,256)/10000,AC90+MID(AC$6,FIND("V",AC$6)+1,256)/10000)</f>
        <v>0.0004</v>
      </c>
      <c r="AY90" s="235">
        <f>IF(AD90="  ",0+MID(AD$6,FIND("V",AD$6)+1,256)/10000,AD90+MID(AD$6,FIND("V",AD$6)+1,256)/10000)</f>
        <v>0.0005</v>
      </c>
      <c r="AZ90" s="235">
        <f>IF(AE90="  ",0+MID(AE$6,FIND("V",AE$6)+1,256)/10000,AE90+MID(AE$6,FIND("V",AE$6)+1,256)/10000)</f>
        <v>0.0006</v>
      </c>
      <c r="BA90" s="235">
        <f>IF(AF90="  ",0+MID(AF$6,FIND("V",AF$6)+1,256)/10000,AF90+MID(AF$6,FIND("V",AF$6)+1,256)/10000)</f>
        <v>0.0007</v>
      </c>
      <c r="BB90" s="235">
        <f>IF(AG90="  ",0+MID(AG$6,FIND("V",AG$6)+1,256)/10000,AG90+MID(AG$6,FIND("V",AG$6)+1,256)/10000)</f>
        <v>0.0008</v>
      </c>
      <c r="BC90" s="235">
        <f>IF(AH90="  ",0+MID(AH$6,FIND("V",AH$6)+1,256)/10000,AH90+MID(AH$6,FIND("V",AH$6)+1,256)/10000)</f>
        <v>0.0009</v>
      </c>
      <c r="BD90" s="235">
        <f>IF(AI90="  ",0+MID(AI$6,FIND("V",AI$6)+1,256)/10000,AI90+MID(AI$6,FIND("V",AI$6)+1,256)/10000)</f>
        <v>0.001</v>
      </c>
      <c r="BE90" s="233"/>
      <c r="BF90" s="233"/>
      <c r="BG90" s="233"/>
      <c r="BH90" s="233"/>
      <c r="BI90" s="3" t="e">
        <f>(LARGE(Z$7:Z$126,1)-Z90)/2+1</f>
        <v>#VALUE!</v>
      </c>
      <c r="BJ90" s="3" t="e">
        <f>(LARGE(AA$7:AA$126,1)-AA90)/2+1</f>
        <v>#VALUE!</v>
      </c>
      <c r="BK90" s="3" t="e">
        <f>(LARGE(AB$7:AB$126,1)-AB90)/2+1</f>
        <v>#VALUE!</v>
      </c>
      <c r="BL90" s="3" t="e">
        <f>(LARGE(AC$7:AC$126,1)-AC90)/2+1</f>
        <v>#VALUE!</v>
      </c>
      <c r="BM90" s="3" t="e">
        <f>(LARGE(AD$7:AD$126,1)-AD90)/2+1</f>
        <v>#VALUE!</v>
      </c>
      <c r="BN90" s="3" t="e">
        <f>(LARGE(AE$7:AE$126,1)-AE90)/2+1</f>
        <v>#VALUE!</v>
      </c>
      <c r="BO90" s="3" t="e">
        <f>(LARGE(AF$7:AF$126,1)-AF90)/2+1</f>
        <v>#VALUE!</v>
      </c>
      <c r="BP90" s="3" t="e">
        <f>(LARGE(AG$7:AG$126,1)-AG90)/2+1</f>
        <v>#VALUE!</v>
      </c>
      <c r="BQ90" s="3" t="e">
        <f>(LARGE(AH$7:AH$126,1)-AH90)/2+1</f>
        <v>#NUM!</v>
      </c>
      <c r="BR90" s="3" t="e">
        <f>(LARGE(AI$7:AI$126,1)-AI90)/2+1</f>
        <v>#NUM!</v>
      </c>
    </row>
    <row r="91" ht="12.75" hidden="1" customHeight="1" spans="1:70">
      <c r="A91" s="139" t="str">
        <f>IF(R91&gt;0,IF(Q91="Viru SK",RANK(B91,B$7:B$126,1)-COUNTIF((Q$7:Q$126),"&lt;&gt;Viru SK"),""),"")</f>
        <v/>
      </c>
      <c r="B91" s="140">
        <f>IF((Q91="Viru SK"),U91,U91-1000)</f>
        <v>-880</v>
      </c>
      <c r="C91" s="141" t="str">
        <f>IF(R91&gt;0,IF(P91="t",RANK(D91,D$7:D$126,1)-COUNTBLANK(P$7:P$126),""),"")</f>
        <v/>
      </c>
      <c r="D91" s="142">
        <f>IF((P91="t"),U91,U91-1000)</f>
        <v>120</v>
      </c>
      <c r="E91" s="143" t="str">
        <f>IF(R91&gt;0,IF(N91="m",RANK(F91,F$7:F$126,1)-COUNTBLANK(N$7:N$126),""),"")</f>
        <v/>
      </c>
      <c r="F91" s="144">
        <f>IF((N91="m"),U91,U91-1000)</f>
        <v>120</v>
      </c>
      <c r="G91" s="145" t="str">
        <f>IF(R91&gt;0,IF(M91="n",RANK(H91,H$7:H$126,1)-COUNTBLANK(M$7:M$126),""),"")</f>
        <v/>
      </c>
      <c r="H91" s="144">
        <f>IF((M91="n"),U91,U91-1000)</f>
        <v>-880</v>
      </c>
      <c r="I91" s="160" t="str">
        <f>IF(R91&gt;0,IF(O91="j",RANK(J91,J$7:J$126,1)-COUNTBLANK(O$7:O$126),""),"")</f>
        <v/>
      </c>
      <c r="J91" s="161">
        <f>IF((O91="j"),U91,U91-1000)</f>
        <v>120</v>
      </c>
      <c r="K91" s="162" t="str">
        <f>IF(R91&gt;0,RANK(U91,U$7:U$126,1),"")</f>
        <v/>
      </c>
      <c r="L91" s="168" t="s">
        <v>282</v>
      </c>
      <c r="M91" s="164"/>
      <c r="N91" s="165" t="s">
        <v>193</v>
      </c>
      <c r="O91" s="166" t="s">
        <v>251</v>
      </c>
      <c r="P91" s="167" t="s">
        <v>196</v>
      </c>
      <c r="Q91" s="192"/>
      <c r="R91" s="154">
        <f>(IF(COUNT(Z91,AA91,AB91,AC91,AD91,AE91,AF91,AG91,AH91,AI91)&lt;10,SUM(Z91,AA91,AB91,AC91,AD91,AE91,AF91,AG91,AH91,AI91),SUM(LARGE((Z91,AA91,AB91,AC91,AD91,AE91,AF91,AG91,AH91,AI91),{1;2;3;4;5;6;7;8;9}))))</f>
        <v>0</v>
      </c>
      <c r="S91" s="193" t="str">
        <f>INDEX(ETAPP!B$1:B$32,MATCH(COUNTIF(BI91:BR91,1),ETAPP!A$1:A$32,0))&amp;INDEX(ETAPP!B$1:B$32,MATCH(COUNTIF(BI91:BR91,2),ETAPP!A$1:A$32,0))&amp;INDEX(ETAPP!B$1:B$32,MATCH(COUNTIF(BI91:BR91,3),ETAPP!A$1:A$32,0))&amp;INDEX(ETAPP!B$1:B$32,MATCH(COUNTIF(BI91:BR91,4),ETAPP!A$1:A$32,0))&amp;INDEX(ETAPP!B$1:B$32,MATCH(COUNTIF(BI91:BR91,5),ETAPP!A$1:A$32,0))&amp;INDEX(ETAPP!B$1:B$32,MATCH(COUNTIF(BI91:BR91,6),ETAPP!A$1:A$32,0))&amp;INDEX(ETAPP!B$1:B$32,MATCH(COUNTIF(BI91:BR91,7),ETAPP!A$1:A$32,0))&amp;INDEX(ETAPP!B$1:B$32,MATCH(COUNTIF(BI91:BR91,8),ETAPP!A$1:A$32,0))&amp;INDEX(ETAPP!B$1:B$32,MATCH(COUNTIF(BI91:BR91,9),ETAPP!A$1:A$32,0))&amp;INDEX(ETAPP!B$1:B$32,MATCH(COUNTIF(BI91:BR91,10),ETAPP!A$1:A$32,0))&amp;INDEX(ETAPP!B$1:B$32,MATCH(COUNTIF(BI91:BR91,11),ETAPP!A$1:A$32,0))&amp;INDEX(ETAPP!B$1:B$32,MATCH(COUNTIF(BI91:BR91,12),ETAPP!A$1:A$32,0))&amp;INDEX(ETAPP!B$1:B$32,MATCH(COUNTIF(BI91:BR91,13),ETAPP!A$1:A$32,0))&amp;INDEX(ETAPP!B$1:B$32,MATCH(COUNTIF(BI91:BR91,14),ETAPP!A$1:A$32,0))&amp;INDEX(ETAPP!B$1:B$32,MATCH(COUNTIF(BI91:BR91,15),ETAPP!A$1:A$32,0))&amp;INDEX(ETAPP!B$1:B$32,MATCH(COUNTIF(BI91:BR91,16),ETAPP!A$1:A$32,0))&amp;INDEX(ETAPP!B$1:B$32,MATCH(COUNTIF(BI91:BR91,17),ETAPP!A$1:A$32,0))&amp;INDEX(ETAPP!B$1:B$32,MATCH(COUNTIF(BI91:BR91,18),ETAPP!A$1:A$32,0))&amp;INDEX(ETAPP!B$1:B$32,MATCH(COUNTIF(BI91:BR91,19),ETAPP!A$1:A$32,0))&amp;INDEX(ETAPP!B$1:B$32,MATCH(COUNTIF(BI91:BR91,20),ETAPP!A$1:A$32,0))&amp;INDEX(ETAPP!B$1:B$32,MATCH(COUNTIF(BI91:BR91,21),ETAPP!A$1:A$32,0))</f>
        <v>000000000000000000000</v>
      </c>
      <c r="T91" s="193" t="str">
        <f>TEXT(R91,"000,0")&amp;"-"&amp;S91</f>
        <v>000,0-000000000000000000000</v>
      </c>
      <c r="U91" s="193">
        <f>COUNTIF(T$7:T$126,"&gt;="&amp;T91)</f>
        <v>120</v>
      </c>
      <c r="V91" s="193">
        <f>COUNTIF(L$7:L$126,"&gt;="&amp;L91)</f>
        <v>69</v>
      </c>
      <c r="W91" s="193" t="str">
        <f>TEXT(R91,"000,0")&amp;"-"&amp;S91&amp;"-"&amp;TEXT(V91,"000")</f>
        <v>000,0-000000000000000000000-069</v>
      </c>
      <c r="X91" s="193">
        <f>COUNTIF(W$7:W$126,"&gt;="&amp;W91)</f>
        <v>85</v>
      </c>
      <c r="Y91" s="201">
        <f>RANK(X91,X$7:X$126,0)</f>
        <v>36</v>
      </c>
      <c r="Z91" s="202" t="str">
        <f>IFERROR(INDEX('V1'!C$300:C$400,MATCH("*"&amp;L91&amp;"*",'V1'!B$300:B$400,0)),"  ")</f>
        <v>  </v>
      </c>
      <c r="AA91" s="202" t="str">
        <f>IFERROR(INDEX('V2'!C$300:C$400,MATCH("*"&amp;L91&amp;"*",'V2'!B$300:B$400,0)),"  ")</f>
        <v>  </v>
      </c>
      <c r="AB91" s="202" t="str">
        <f>IFERROR(INDEX('V3'!C$300:C$400,MATCH("*"&amp;L91&amp;"*",'V3'!B$300:B$400,0)),"  ")</f>
        <v>  </v>
      </c>
      <c r="AC91" s="202" t="str">
        <f>IFERROR(INDEX('V4'!C$300:C$400,MATCH("*"&amp;L91&amp;"*",'V4'!B$300:B$400,0)),"  ")</f>
        <v>  </v>
      </c>
      <c r="AD91" s="202" t="str">
        <f>IFERROR(INDEX('V5'!C$300:C$400,MATCH("*"&amp;L91&amp;"*",'V5'!B$300:B$400,0)),"  ")</f>
        <v>  </v>
      </c>
      <c r="AE91" s="202" t="str">
        <f>IFERROR(INDEX('V6'!C$300:C$400,MATCH("*"&amp;L91&amp;"*",'V6'!B$300:B$400,0)),"  ")</f>
        <v>  </v>
      </c>
      <c r="AF91" s="202" t="str">
        <f>IFERROR(INDEX('V7'!C$300:C$400,MATCH("*"&amp;L91&amp;"*",'V7'!B$300:B$400,0)),"  ")</f>
        <v>  </v>
      </c>
      <c r="AG91" s="202" t="str">
        <f>IFERROR(INDEX('V8'!C$300:C$400,MATCH("*"&amp;L91&amp;"*",'V8'!B$300:B$400,0)),"  ")</f>
        <v>  </v>
      </c>
      <c r="AH91" s="202"/>
      <c r="AI91" s="202"/>
      <c r="AJ91" s="222" t="str">
        <f>IF(AN91&gt;(AT$2-1),K91,"")</f>
        <v/>
      </c>
      <c r="AK91" s="223">
        <f>SUM(Z91:AI91)</f>
        <v>0</v>
      </c>
      <c r="AL91" s="224" t="str">
        <f>IFERROR("edasi "&amp;RANK(AJ91,AJ$7:AJ$126,1),K91)</f>
        <v/>
      </c>
      <c r="AM91" s="225" t="str">
        <f>IFERROR(INDEX(#REF!,MATCH("*"&amp;L91&amp;"*",#REF!,0)),"  ")</f>
        <v>  </v>
      </c>
      <c r="AN91" s="226">
        <f>COUNTIF(Z91:AI91,"&gt;=0")</f>
        <v>0</v>
      </c>
      <c r="AO91" s="126">
        <f>IFERROR(IF(Z91+1&gt;LARGE(Z$7:Z$126,1)-2*LEN(Z$5),1),0)+IFERROR(IF(AA91+1&gt;LARGE(AA$7:AA$126,1)-2*LEN(AA$5),1),0)+IFERROR(IF(AB91+1&gt;LARGE(AB$7:AB$126,1)-2*LEN(AB$5),1),0)+IFERROR(IF(AC91+1&gt;LARGE(AC$7:AC$126,1)-2*LEN(AC$5),1),0)+IFERROR(IF(AD91+1&gt;LARGE(AD$7:AD$126,1)-2*LEN(AD$5),1),0)+IFERROR(IF(AE91+1&gt;LARGE(AE$7:AE$126,1)-2*LEN(AE$5),1),0)+IFERROR(IF(AF91+1&gt;LARGE(AF$7:AF$126,1)-2*LEN(AF$5),1),0)+IFERROR(IF(AG91+1&gt;LARGE(AG$7:AG$126,1)-2*LEN(AG$5),1),0)+IFERROR(IF(AH91+1&gt;LARGE(AH$7:AH$126,1)-2*LEN(AH$5),1),0)+IFERROR(IF(AI91+1&gt;LARGE(AI$7:AI$126,1)-2*LEN(AI$5),1),0)</f>
        <v>0</v>
      </c>
      <c r="AP91" s="126">
        <f>IF(Z91=0,0,IF(Z91=IFERROR(LARGE(Z$7:Z$126,1),0),1,0))+IF(AA91=0,0,IF(AA91=IFERROR(LARGE(AA$7:AA$126,1),0),1,0))+IF(AB91=0,0,IF(AB91=IFERROR(LARGE(AB$7:AB$126,1),0),1,0))+IF(AC91=0,0,IF(AC91=IFERROR(LARGE(AC$7:AC$126,1),0),1,0))+IF(AD91=0,0,IF(AD91=IFERROR(LARGE(AD$7:AD$126,1),0),1,0))+IF(AE91=0,0,IF(AE91=IFERROR(LARGE(AE$7:AE$126,1),0),1,0))+IF(AF91=0,0,IF(AF91=IFERROR(LARGE(AF$7:AF$126,1),0),1,0))+IF(AG91=0,0,IF(AG91=IFERROR(LARGE(AG$7:AG$126,1),0),1,0))+IF(AH91=0,0,IF(AH91=IFERROR(LARGE(AH$7:AH$126,1),0),1,0))+IF(AI91=0,0,IF(AI91=IFERROR(LARGE(AI$7:AI$126,1),0),1,0))</f>
        <v>0</v>
      </c>
      <c r="AQ91" s="233"/>
      <c r="AR91" s="233"/>
      <c r="AS91" s="233"/>
      <c r="AT91" s="234">
        <f>SMALL(AU91:BD91,AT$3)</f>
        <v>0.0001</v>
      </c>
      <c r="AU91" s="235">
        <f>IF(Z91="  ",0+MID(Z$6,FIND("V",Z$6)+1,256)/10000,Z91+MID(Z$6,FIND("V",Z$6)+1,256)/10000)</f>
        <v>0.0001</v>
      </c>
      <c r="AV91" s="235">
        <f>IF(AA91="  ",0+MID(AA$6,FIND("V",AA$6)+1,256)/10000,AA91+MID(AA$6,FIND("V",AA$6)+1,256)/10000)</f>
        <v>0.0002</v>
      </c>
      <c r="AW91" s="235">
        <f>IF(AB91="  ",0+MID(AB$6,FIND("V",AB$6)+1,256)/10000,AB91+MID(AB$6,FIND("V",AB$6)+1,256)/10000)</f>
        <v>0.0003</v>
      </c>
      <c r="AX91" s="235">
        <f>IF(AC91="  ",0+MID(AC$6,FIND("V",AC$6)+1,256)/10000,AC91+MID(AC$6,FIND("V",AC$6)+1,256)/10000)</f>
        <v>0.0004</v>
      </c>
      <c r="AY91" s="235">
        <f>IF(AD91="  ",0+MID(AD$6,FIND("V",AD$6)+1,256)/10000,AD91+MID(AD$6,FIND("V",AD$6)+1,256)/10000)</f>
        <v>0.0005</v>
      </c>
      <c r="AZ91" s="235">
        <f>IF(AE91="  ",0+MID(AE$6,FIND("V",AE$6)+1,256)/10000,AE91+MID(AE$6,FIND("V",AE$6)+1,256)/10000)</f>
        <v>0.0006</v>
      </c>
      <c r="BA91" s="235">
        <f>IF(AF91="  ",0+MID(AF$6,FIND("V",AF$6)+1,256)/10000,AF91+MID(AF$6,FIND("V",AF$6)+1,256)/10000)</f>
        <v>0.0007</v>
      </c>
      <c r="BB91" s="235">
        <f>IF(AG91="  ",0+MID(AG$6,FIND("V",AG$6)+1,256)/10000,AG91+MID(AG$6,FIND("V",AG$6)+1,256)/10000)</f>
        <v>0.0008</v>
      </c>
      <c r="BC91" s="235">
        <f>IF(AH91="  ",0+MID(AH$6,FIND("V",AH$6)+1,256)/10000,AH91+MID(AH$6,FIND("V",AH$6)+1,256)/10000)</f>
        <v>0.0009</v>
      </c>
      <c r="BD91" s="235">
        <f>IF(AI91="  ",0+MID(AI$6,FIND("V",AI$6)+1,256)/10000,AI91+MID(AI$6,FIND("V",AI$6)+1,256)/10000)</f>
        <v>0.001</v>
      </c>
      <c r="BE91" s="233"/>
      <c r="BF91" s="233"/>
      <c r="BG91" s="233"/>
      <c r="BH91" s="233"/>
      <c r="BI91" s="3" t="e">
        <f>(LARGE(Z$7:Z$126,1)-Z91)/2+1</f>
        <v>#VALUE!</v>
      </c>
      <c r="BJ91" s="3" t="e">
        <f>(LARGE(AA$7:AA$126,1)-AA91)/2+1</f>
        <v>#VALUE!</v>
      </c>
      <c r="BK91" s="3" t="e">
        <f>(LARGE(AB$7:AB$126,1)-AB91)/2+1</f>
        <v>#VALUE!</v>
      </c>
      <c r="BL91" s="3" t="e">
        <f>(LARGE(AC$7:AC$126,1)-AC91)/2+1</f>
        <v>#VALUE!</v>
      </c>
      <c r="BM91" s="3" t="e">
        <f>(LARGE(AD$7:AD$126,1)-AD91)/2+1</f>
        <v>#VALUE!</v>
      </c>
      <c r="BN91" s="3" t="e">
        <f>(LARGE(AE$7:AE$126,1)-AE91)/2+1</f>
        <v>#VALUE!</v>
      </c>
      <c r="BO91" s="3" t="e">
        <f>(LARGE(AF$7:AF$126,1)-AF91)/2+1</f>
        <v>#VALUE!</v>
      </c>
      <c r="BP91" s="3" t="e">
        <f>(LARGE(AG$7:AG$126,1)-AG91)/2+1</f>
        <v>#VALUE!</v>
      </c>
      <c r="BQ91" s="3" t="e">
        <f>(LARGE(AH$7:AH$126,1)-AH91)/2+1</f>
        <v>#NUM!</v>
      </c>
      <c r="BR91" s="3" t="e">
        <f>(LARGE(AI$7:AI$126,1)-AI91)/2+1</f>
        <v>#NUM!</v>
      </c>
    </row>
    <row r="92" ht="12.75" hidden="1" customHeight="1" spans="1:70">
      <c r="A92" s="139" t="str">
        <f>IF(R92&gt;0,IF(Q92="Viru SK",RANK(B92,B$7:B$126,1)-COUNTIF((Q$7:Q$126),"&lt;&gt;Viru SK"),""),"")</f>
        <v/>
      </c>
      <c r="B92" s="140">
        <f>IF((Q92="Viru SK"),U92,U92-1000)</f>
        <v>-880</v>
      </c>
      <c r="C92" s="141" t="str">
        <f>IF(R92&gt;0,IF(P92="t",RANK(D92,D$7:D$126,1)-COUNTBLANK(P$7:P$126),""),"")</f>
        <v/>
      </c>
      <c r="D92" s="142">
        <f>IF((P92="t"),U92,U92-1000)</f>
        <v>-880</v>
      </c>
      <c r="E92" s="143" t="str">
        <f>IF(R92&gt;0,IF(N92="m",RANK(F92,F$7:F$126,1)-COUNTBLANK(N$7:N$126),""),"")</f>
        <v/>
      </c>
      <c r="F92" s="144">
        <f>IF((N92="m"),U92,U92-1000)</f>
        <v>120</v>
      </c>
      <c r="G92" s="145" t="str">
        <f>IF(R92&gt;0,IF(M92="n",RANK(H92,H$7:H$126,1)-COUNTBLANK(M$7:M$126),""),"")</f>
        <v/>
      </c>
      <c r="H92" s="144">
        <f>IF((M92="n"),U92,U92-1000)</f>
        <v>-880</v>
      </c>
      <c r="I92" s="160" t="str">
        <f>IF(R92&gt;0,IF(O92="j",RANK(J92,J$7:J$126,1)-COUNTBLANK(O$7:O$126),""),"")</f>
        <v/>
      </c>
      <c r="J92" s="161">
        <f>IF((O92="j"),U92,U92-1000)</f>
        <v>-880</v>
      </c>
      <c r="K92" s="162" t="str">
        <f>IF(R92&gt;0,RANK(U92,U$7:U$126,1),"")</f>
        <v/>
      </c>
      <c r="L92" s="163" t="s">
        <v>283</v>
      </c>
      <c r="M92" s="164"/>
      <c r="N92" s="165" t="s">
        <v>193</v>
      </c>
      <c r="O92" s="166"/>
      <c r="P92" s="167"/>
      <c r="Q92" s="192" t="s">
        <v>274</v>
      </c>
      <c r="R92" s="154">
        <f>(IF(COUNT(Z92,AA92,AB92,AC92,AD92,AE92,AF92,AG92,AH92,AI92)&lt;10,SUM(Z92,AA92,AB92,AC92,AD92,AE92,AF92,AG92,AH92,AI92),SUM(LARGE((Z92,AA92,AB92,AC92,AD92,AE92,AF92,AG92,AH92,AI92),{1;2;3;4;5;6;7;8;9}))))</f>
        <v>0</v>
      </c>
      <c r="S92" s="193" t="str">
        <f>INDEX(ETAPP!B$1:B$32,MATCH(COUNTIF(BI92:BR92,1),ETAPP!A$1:A$32,0))&amp;INDEX(ETAPP!B$1:B$32,MATCH(COUNTIF(BI92:BR92,2),ETAPP!A$1:A$32,0))&amp;INDEX(ETAPP!B$1:B$32,MATCH(COUNTIF(BI92:BR92,3),ETAPP!A$1:A$32,0))&amp;INDEX(ETAPP!B$1:B$32,MATCH(COUNTIF(BI92:BR92,4),ETAPP!A$1:A$32,0))&amp;INDEX(ETAPP!B$1:B$32,MATCH(COUNTIF(BI92:BR92,5),ETAPP!A$1:A$32,0))&amp;INDEX(ETAPP!B$1:B$32,MATCH(COUNTIF(BI92:BR92,6),ETAPP!A$1:A$32,0))&amp;INDEX(ETAPP!B$1:B$32,MATCH(COUNTIF(BI92:BR92,7),ETAPP!A$1:A$32,0))&amp;INDEX(ETAPP!B$1:B$32,MATCH(COUNTIF(BI92:BR92,8),ETAPP!A$1:A$32,0))&amp;INDEX(ETAPP!B$1:B$32,MATCH(COUNTIF(BI92:BR92,9),ETAPP!A$1:A$32,0))&amp;INDEX(ETAPP!B$1:B$32,MATCH(COUNTIF(BI92:BR92,10),ETAPP!A$1:A$32,0))&amp;INDEX(ETAPP!B$1:B$32,MATCH(COUNTIF(BI92:BR92,11),ETAPP!A$1:A$32,0))&amp;INDEX(ETAPP!B$1:B$32,MATCH(COUNTIF(BI92:BR92,12),ETAPP!A$1:A$32,0))&amp;INDEX(ETAPP!B$1:B$32,MATCH(COUNTIF(BI92:BR92,13),ETAPP!A$1:A$32,0))&amp;INDEX(ETAPP!B$1:B$32,MATCH(COUNTIF(BI92:BR92,14),ETAPP!A$1:A$32,0))&amp;INDEX(ETAPP!B$1:B$32,MATCH(COUNTIF(BI92:BR92,15),ETAPP!A$1:A$32,0))&amp;INDEX(ETAPP!B$1:B$32,MATCH(COUNTIF(BI92:BR92,16),ETAPP!A$1:A$32,0))&amp;INDEX(ETAPP!B$1:B$32,MATCH(COUNTIF(BI92:BR92,17),ETAPP!A$1:A$32,0))&amp;INDEX(ETAPP!B$1:B$32,MATCH(COUNTIF(BI92:BR92,18),ETAPP!A$1:A$32,0))&amp;INDEX(ETAPP!B$1:B$32,MATCH(COUNTIF(BI92:BR92,19),ETAPP!A$1:A$32,0))&amp;INDEX(ETAPP!B$1:B$32,MATCH(COUNTIF(BI92:BR92,20),ETAPP!A$1:A$32,0))&amp;INDEX(ETAPP!B$1:B$32,MATCH(COUNTIF(BI92:BR92,21),ETAPP!A$1:A$32,0))</f>
        <v>000000000000000000000</v>
      </c>
      <c r="T92" s="193" t="str">
        <f>TEXT(R92,"000,0")&amp;"-"&amp;S92</f>
        <v>000,0-000000000000000000000</v>
      </c>
      <c r="U92" s="193">
        <f>COUNTIF(T$7:T$126,"&gt;="&amp;T92)</f>
        <v>120</v>
      </c>
      <c r="V92" s="193">
        <f>COUNTIF(L$7:L$126,"&gt;="&amp;L92)</f>
        <v>68</v>
      </c>
      <c r="W92" s="193" t="str">
        <f>TEXT(R92,"000,0")&amp;"-"&amp;S92&amp;"-"&amp;TEXT(V92,"000")</f>
        <v>000,0-000000000000000000000-068</v>
      </c>
      <c r="X92" s="193">
        <f>COUNTIF(W$7:W$126,"&gt;="&amp;W92)</f>
        <v>86</v>
      </c>
      <c r="Y92" s="201">
        <f>RANK(X92,X$7:X$126,0)</f>
        <v>35</v>
      </c>
      <c r="Z92" s="202" t="str">
        <f>IFERROR(INDEX('V1'!C$300:C$400,MATCH("*"&amp;L92&amp;"*",'V1'!B$300:B$400,0)),"  ")</f>
        <v>  </v>
      </c>
      <c r="AA92" s="202" t="str">
        <f>IFERROR(INDEX('V2'!C$300:C$400,MATCH("*"&amp;L92&amp;"*",'V2'!B$300:B$400,0)),"  ")</f>
        <v>  </v>
      </c>
      <c r="AB92" s="202" t="str">
        <f>IFERROR(INDEX('V3'!C$300:C$400,MATCH("*"&amp;L92&amp;"*",'V3'!B$300:B$400,0)),"  ")</f>
        <v>  </v>
      </c>
      <c r="AC92" s="202" t="str">
        <f>IFERROR(INDEX('V4'!C$300:C$400,MATCH("*"&amp;L92&amp;"*",'V4'!B$300:B$400,0)),"  ")</f>
        <v>  </v>
      </c>
      <c r="AD92" s="202" t="str">
        <f>IFERROR(INDEX('V5'!C$300:C$400,MATCH("*"&amp;L92&amp;"*",'V5'!B$300:B$400,0)),"  ")</f>
        <v>  </v>
      </c>
      <c r="AE92" s="202" t="str">
        <f>IFERROR(INDEX('V6'!C$300:C$400,MATCH("*"&amp;L92&amp;"*",'V6'!B$300:B$400,0)),"  ")</f>
        <v>  </v>
      </c>
      <c r="AF92" s="202" t="str">
        <f>IFERROR(INDEX('V7'!C$300:C$400,MATCH("*"&amp;L92&amp;"*",'V7'!B$300:B$400,0)),"  ")</f>
        <v>  </v>
      </c>
      <c r="AG92" s="202" t="str">
        <f>IFERROR(INDEX('V8'!C$300:C$400,MATCH("*"&amp;L92&amp;"*",'V8'!B$300:B$400,0)),"  ")</f>
        <v>  </v>
      </c>
      <c r="AH92" s="202"/>
      <c r="AI92" s="202"/>
      <c r="AJ92" s="222" t="str">
        <f>IF(AN92&gt;(AT$2-1),K92,"")</f>
        <v/>
      </c>
      <c r="AK92" s="223">
        <f>SUM(Z92:AI92)</f>
        <v>0</v>
      </c>
      <c r="AL92" s="224" t="str">
        <f>IFERROR("edasi "&amp;RANK(AJ92,AJ$7:AJ$126,1),K92)</f>
        <v/>
      </c>
      <c r="AM92" s="225" t="str">
        <f>IFERROR(INDEX(#REF!,MATCH("*"&amp;L92&amp;"*",#REF!,0)),"  ")</f>
        <v>  </v>
      </c>
      <c r="AN92" s="226">
        <f>COUNTIF(Z92:AI92,"&gt;=0")</f>
        <v>0</v>
      </c>
      <c r="AO92" s="126">
        <f>IFERROR(IF(Z92+1&gt;LARGE(Z$7:Z$126,1)-2*LEN(Z$5),1),0)+IFERROR(IF(AA92+1&gt;LARGE(AA$7:AA$126,1)-2*LEN(AA$5),1),0)+IFERROR(IF(AB92+1&gt;LARGE(AB$7:AB$126,1)-2*LEN(AB$5),1),0)+IFERROR(IF(AC92+1&gt;LARGE(AC$7:AC$126,1)-2*LEN(AC$5),1),0)+IFERROR(IF(AD92+1&gt;LARGE(AD$7:AD$126,1)-2*LEN(AD$5),1),0)+IFERROR(IF(AE92+1&gt;LARGE(AE$7:AE$126,1)-2*LEN(AE$5),1),0)+IFERROR(IF(AF92+1&gt;LARGE(AF$7:AF$126,1)-2*LEN(AF$5),1),0)+IFERROR(IF(AG92+1&gt;LARGE(AG$7:AG$126,1)-2*LEN(AG$5),1),0)+IFERROR(IF(AH92+1&gt;LARGE(AH$7:AH$126,1)-2*LEN(AH$5),1),0)+IFERROR(IF(AI92+1&gt;LARGE(AI$7:AI$126,1)-2*LEN(AI$5),1),0)</f>
        <v>0</v>
      </c>
      <c r="AP92" s="126">
        <f>IF(Z92=0,0,IF(Z92=IFERROR(LARGE(Z$7:Z$126,1),0),1,0))+IF(AA92=0,0,IF(AA92=IFERROR(LARGE(AA$7:AA$126,1),0),1,0))+IF(AB92=0,0,IF(AB92=IFERROR(LARGE(AB$7:AB$126,1),0),1,0))+IF(AC92=0,0,IF(AC92=IFERROR(LARGE(AC$7:AC$126,1),0),1,0))+IF(AD92=0,0,IF(AD92=IFERROR(LARGE(AD$7:AD$126,1),0),1,0))+IF(AE92=0,0,IF(AE92=IFERROR(LARGE(AE$7:AE$126,1),0),1,0))+IF(AF92=0,0,IF(AF92=IFERROR(LARGE(AF$7:AF$126,1),0),1,0))+IF(AG92=0,0,IF(AG92=IFERROR(LARGE(AG$7:AG$126,1),0),1,0))+IF(AH92=0,0,IF(AH92=IFERROR(LARGE(AH$7:AH$126,1),0),1,0))+IF(AI92=0,0,IF(AI92=IFERROR(LARGE(AI$7:AI$126,1),0),1,0))</f>
        <v>0</v>
      </c>
      <c r="AQ92" s="233"/>
      <c r="AR92" s="233"/>
      <c r="AS92" s="233"/>
      <c r="AT92" s="234">
        <f>SMALL(AU92:BD92,AT$3)</f>
        <v>0.0001</v>
      </c>
      <c r="AU92" s="235">
        <f>IF(Z92="  ",0+MID(Z$6,FIND("V",Z$6)+1,256)/10000,Z92+MID(Z$6,FIND("V",Z$6)+1,256)/10000)</f>
        <v>0.0001</v>
      </c>
      <c r="AV92" s="235">
        <f>IF(AA92="  ",0+MID(AA$6,FIND("V",AA$6)+1,256)/10000,AA92+MID(AA$6,FIND("V",AA$6)+1,256)/10000)</f>
        <v>0.0002</v>
      </c>
      <c r="AW92" s="235">
        <f>IF(AB92="  ",0+MID(AB$6,FIND("V",AB$6)+1,256)/10000,AB92+MID(AB$6,FIND("V",AB$6)+1,256)/10000)</f>
        <v>0.0003</v>
      </c>
      <c r="AX92" s="235">
        <f>IF(AC92="  ",0+MID(AC$6,FIND("V",AC$6)+1,256)/10000,AC92+MID(AC$6,FIND("V",AC$6)+1,256)/10000)</f>
        <v>0.0004</v>
      </c>
      <c r="AY92" s="235">
        <f>IF(AD92="  ",0+MID(AD$6,FIND("V",AD$6)+1,256)/10000,AD92+MID(AD$6,FIND("V",AD$6)+1,256)/10000)</f>
        <v>0.0005</v>
      </c>
      <c r="AZ92" s="235">
        <f>IF(AE92="  ",0+MID(AE$6,FIND("V",AE$6)+1,256)/10000,AE92+MID(AE$6,FIND("V",AE$6)+1,256)/10000)</f>
        <v>0.0006</v>
      </c>
      <c r="BA92" s="235">
        <f>IF(AF92="  ",0+MID(AF$6,FIND("V",AF$6)+1,256)/10000,AF92+MID(AF$6,FIND("V",AF$6)+1,256)/10000)</f>
        <v>0.0007</v>
      </c>
      <c r="BB92" s="235">
        <f>IF(AG92="  ",0+MID(AG$6,FIND("V",AG$6)+1,256)/10000,AG92+MID(AG$6,FIND("V",AG$6)+1,256)/10000)</f>
        <v>0.0008</v>
      </c>
      <c r="BC92" s="235">
        <f>IF(AH92="  ",0+MID(AH$6,FIND("V",AH$6)+1,256)/10000,AH92+MID(AH$6,FIND("V",AH$6)+1,256)/10000)</f>
        <v>0.0009</v>
      </c>
      <c r="BD92" s="235">
        <f>IF(AI92="  ",0+MID(AI$6,FIND("V",AI$6)+1,256)/10000,AI92+MID(AI$6,FIND("V",AI$6)+1,256)/10000)</f>
        <v>0.001</v>
      </c>
      <c r="BE92" s="233"/>
      <c r="BF92" s="233"/>
      <c r="BG92" s="233"/>
      <c r="BH92" s="233"/>
      <c r="BI92" s="3" t="e">
        <f>(LARGE(Z$7:Z$126,1)-Z92)/2+1</f>
        <v>#VALUE!</v>
      </c>
      <c r="BJ92" s="3" t="e">
        <f>(LARGE(AA$7:AA$126,1)-AA92)/2+1</f>
        <v>#VALUE!</v>
      </c>
      <c r="BK92" s="3" t="e">
        <f>(LARGE(AB$7:AB$126,1)-AB92)/2+1</f>
        <v>#VALUE!</v>
      </c>
      <c r="BL92" s="3" t="e">
        <f>(LARGE(AC$7:AC$126,1)-AC92)/2+1</f>
        <v>#VALUE!</v>
      </c>
      <c r="BM92" s="3" t="e">
        <f>(LARGE(AD$7:AD$126,1)-AD92)/2+1</f>
        <v>#VALUE!</v>
      </c>
      <c r="BN92" s="3" t="e">
        <f>(LARGE(AE$7:AE$126,1)-AE92)/2+1</f>
        <v>#VALUE!</v>
      </c>
      <c r="BO92" s="3" t="e">
        <f>(LARGE(AF$7:AF$126,1)-AF92)/2+1</f>
        <v>#VALUE!</v>
      </c>
      <c r="BP92" s="3" t="e">
        <f>(LARGE(AG$7:AG$126,1)-AG92)/2+1</f>
        <v>#VALUE!</v>
      </c>
      <c r="BQ92" s="3" t="e">
        <f>(LARGE(AH$7:AH$126,1)-AH92)/2+1</f>
        <v>#NUM!</v>
      </c>
      <c r="BR92" s="3" t="e">
        <f>(LARGE(AI$7:AI$126,1)-AI92)/2+1</f>
        <v>#NUM!</v>
      </c>
    </row>
    <row r="93" ht="12.75" hidden="1" customHeight="1" spans="1:70">
      <c r="A93" s="139" t="str">
        <f>IF(R93&gt;0,IF(Q93="Viru SK",RANK(B93,B$7:B$126,1)-COUNTIF((Q$7:Q$126),"&lt;&gt;Viru SK"),""),"")</f>
        <v/>
      </c>
      <c r="B93" s="140">
        <f>IF((Q93="Viru SK"),U93,U93-1000)</f>
        <v>120</v>
      </c>
      <c r="C93" s="141" t="str">
        <f>IF(R93&gt;0,IF(P93="t",RANK(D93,D$7:D$126,1)-COUNTBLANK(P$7:P$126),""),"")</f>
        <v/>
      </c>
      <c r="D93" s="142">
        <f>IF((P93="t"),U93,U93-1000)</f>
        <v>120</v>
      </c>
      <c r="E93" s="143" t="str">
        <f>IF(R93&gt;0,IF(N93="m",RANK(F93,F$7:F$126,1)-COUNTBLANK(N$7:N$126),""),"")</f>
        <v/>
      </c>
      <c r="F93" s="144">
        <f>IF((N93="m"),U93,U93-1000)</f>
        <v>-880</v>
      </c>
      <c r="G93" s="145" t="str">
        <f>IF(R93&gt;0,IF(M93="n",RANK(H93,H$7:H$126,1)-COUNTBLANK(M$7:M$126),""),"")</f>
        <v/>
      </c>
      <c r="H93" s="144">
        <f>IF((M93="n"),U93,U93-1000)</f>
        <v>120</v>
      </c>
      <c r="I93" s="160" t="str">
        <f>IF(R93&gt;0,IF(O93="j",RANK(J93,J$7:J$126,1)-COUNTBLANK(O$7:O$126),""),"")</f>
        <v/>
      </c>
      <c r="J93" s="161">
        <f>IF((O93="j"),U93,U93-1000)</f>
        <v>-880</v>
      </c>
      <c r="K93" s="162" t="str">
        <f>IF(R93&gt;0,RANK(U93,U$7:U$126,1),"")</f>
        <v/>
      </c>
      <c r="L93" s="163" t="s">
        <v>284</v>
      </c>
      <c r="M93" s="164" t="s">
        <v>203</v>
      </c>
      <c r="N93" s="165" t="str">
        <f>IF(M93="","m","")</f>
        <v/>
      </c>
      <c r="O93" s="166"/>
      <c r="P93" s="167" t="s">
        <v>196</v>
      </c>
      <c r="Q93" s="192" t="s">
        <v>171</v>
      </c>
      <c r="R93" s="154">
        <f>(IF(COUNT(Z93,AA93,AB93,AC93,AD93,AE93,AF93,AG93,AH93,AI93)&lt;10,SUM(Z93,AA93,AB93,AC93,AD93,AE93,AF93,AG93,AH93,AI93),SUM(LARGE((Z93,AA93,AB93,AC93,AD93,AE93,AF93,AG93,AH93,AI93),{1;2;3;4;5;6;7;8;9}))))</f>
        <v>0</v>
      </c>
      <c r="S93" s="193" t="str">
        <f>INDEX(ETAPP!B$1:B$32,MATCH(COUNTIF(BI93:BR93,1),ETAPP!A$1:A$32,0))&amp;INDEX(ETAPP!B$1:B$32,MATCH(COUNTIF(BI93:BR93,2),ETAPP!A$1:A$32,0))&amp;INDEX(ETAPP!B$1:B$32,MATCH(COUNTIF(BI93:BR93,3),ETAPP!A$1:A$32,0))&amp;INDEX(ETAPP!B$1:B$32,MATCH(COUNTIF(BI93:BR93,4),ETAPP!A$1:A$32,0))&amp;INDEX(ETAPP!B$1:B$32,MATCH(COUNTIF(BI93:BR93,5),ETAPP!A$1:A$32,0))&amp;INDEX(ETAPP!B$1:B$32,MATCH(COUNTIF(BI93:BR93,6),ETAPP!A$1:A$32,0))&amp;INDEX(ETAPP!B$1:B$32,MATCH(COUNTIF(BI93:BR93,7),ETAPP!A$1:A$32,0))&amp;INDEX(ETAPP!B$1:B$32,MATCH(COUNTIF(BI93:BR93,8),ETAPP!A$1:A$32,0))&amp;INDEX(ETAPP!B$1:B$32,MATCH(COUNTIF(BI93:BR93,9),ETAPP!A$1:A$32,0))&amp;INDEX(ETAPP!B$1:B$32,MATCH(COUNTIF(BI93:BR93,10),ETAPP!A$1:A$32,0))&amp;INDEX(ETAPP!B$1:B$32,MATCH(COUNTIF(BI93:BR93,11),ETAPP!A$1:A$32,0))&amp;INDEX(ETAPP!B$1:B$32,MATCH(COUNTIF(BI93:BR93,12),ETAPP!A$1:A$32,0))&amp;INDEX(ETAPP!B$1:B$32,MATCH(COUNTIF(BI93:BR93,13),ETAPP!A$1:A$32,0))&amp;INDEX(ETAPP!B$1:B$32,MATCH(COUNTIF(BI93:BR93,14),ETAPP!A$1:A$32,0))&amp;INDEX(ETAPP!B$1:B$32,MATCH(COUNTIF(BI93:BR93,15),ETAPP!A$1:A$32,0))&amp;INDEX(ETAPP!B$1:B$32,MATCH(COUNTIF(BI93:BR93,16),ETAPP!A$1:A$32,0))&amp;INDEX(ETAPP!B$1:B$32,MATCH(COUNTIF(BI93:BR93,17),ETAPP!A$1:A$32,0))&amp;INDEX(ETAPP!B$1:B$32,MATCH(COUNTIF(BI93:BR93,18),ETAPP!A$1:A$32,0))&amp;INDEX(ETAPP!B$1:B$32,MATCH(COUNTIF(BI93:BR93,19),ETAPP!A$1:A$32,0))&amp;INDEX(ETAPP!B$1:B$32,MATCH(COUNTIF(BI93:BR93,20),ETAPP!A$1:A$32,0))&amp;INDEX(ETAPP!B$1:B$32,MATCH(COUNTIF(BI93:BR93,21),ETAPP!A$1:A$32,0))</f>
        <v>000000000000000000000</v>
      </c>
      <c r="T93" s="193" t="str">
        <f>TEXT(R93,"000,0")&amp;"-"&amp;S93</f>
        <v>000,0-000000000000000000000</v>
      </c>
      <c r="U93" s="193">
        <f>COUNTIF(T$7:T$126,"&gt;="&amp;T93)</f>
        <v>120</v>
      </c>
      <c r="V93" s="193">
        <f>COUNTIF(L$7:L$126,"&gt;="&amp;L93)</f>
        <v>63</v>
      </c>
      <c r="W93" s="193" t="str">
        <f>TEXT(R93,"000,0")&amp;"-"&amp;S93&amp;"-"&amp;TEXT(V93,"000")</f>
        <v>000,0-000000000000000000000-063</v>
      </c>
      <c r="X93" s="193">
        <f>COUNTIF(W$7:W$126,"&gt;="&amp;W93)</f>
        <v>87</v>
      </c>
      <c r="Y93" s="201">
        <f>RANK(X93,X$7:X$126,0)</f>
        <v>34</v>
      </c>
      <c r="Z93" s="202" t="str">
        <f>IFERROR(INDEX('V1'!C$300:C$400,MATCH("*"&amp;L93&amp;"*",'V1'!B$300:B$400,0)),"  ")</f>
        <v>  </v>
      </c>
      <c r="AA93" s="202" t="str">
        <f>IFERROR(INDEX('V2'!C$300:C$400,MATCH("*"&amp;L93&amp;"*",'V2'!B$300:B$400,0)),"  ")</f>
        <v>  </v>
      </c>
      <c r="AB93" s="202" t="str">
        <f>IFERROR(INDEX('V3'!C$300:C$400,MATCH("*"&amp;L93&amp;"*",'V3'!B$300:B$400,0)),"  ")</f>
        <v>  </v>
      </c>
      <c r="AC93" s="202" t="str">
        <f>IFERROR(INDEX('V4'!C$300:C$400,MATCH("*"&amp;L93&amp;"*",'V4'!B$300:B$400,0)),"  ")</f>
        <v>  </v>
      </c>
      <c r="AD93" s="202" t="str">
        <f>IFERROR(INDEX('V5'!C$300:C$400,MATCH("*"&amp;L93&amp;"*",'V5'!B$300:B$400,0)),"  ")</f>
        <v>  </v>
      </c>
      <c r="AE93" s="202" t="str">
        <f>IFERROR(INDEX('V6'!C$300:C$400,MATCH("*"&amp;L93&amp;"*",'V6'!B$300:B$400,0)),"  ")</f>
        <v>  </v>
      </c>
      <c r="AF93" s="202" t="str">
        <f>IFERROR(INDEX('V7'!C$300:C$400,MATCH("*"&amp;L93&amp;"*",'V7'!B$300:B$400,0)),"  ")</f>
        <v>  </v>
      </c>
      <c r="AG93" s="202" t="str">
        <f>IFERROR(INDEX('V8'!C$300:C$400,MATCH("*"&amp;L93&amp;"*",'V8'!B$300:B$400,0)),"  ")</f>
        <v>  </v>
      </c>
      <c r="AH93" s="202"/>
      <c r="AI93" s="202"/>
      <c r="AJ93" s="222" t="str">
        <f>IF(AN93&gt;(AT$2-1),K93,"")</f>
        <v/>
      </c>
      <c r="AK93" s="223">
        <f>SUM(Z93:AI93)</f>
        <v>0</v>
      </c>
      <c r="AL93" s="224" t="str">
        <f>IFERROR("edasi "&amp;RANK(AJ93,AJ$7:AJ$126,1),K93)</f>
        <v/>
      </c>
      <c r="AM93" s="225" t="str">
        <f>IFERROR(INDEX(#REF!,MATCH("*"&amp;L93&amp;"*",#REF!,0)),"  ")</f>
        <v>  </v>
      </c>
      <c r="AN93" s="226">
        <f>COUNTIF(Z93:AI93,"&gt;=0")</f>
        <v>0</v>
      </c>
      <c r="AO93" s="126">
        <f>IFERROR(IF(Z93+1&gt;LARGE(Z$7:Z$126,1)-2*LEN(Z$5),1),0)+IFERROR(IF(AA93+1&gt;LARGE(AA$7:AA$126,1)-2*LEN(AA$5),1),0)+IFERROR(IF(AB93+1&gt;LARGE(AB$7:AB$126,1)-2*LEN(AB$5),1),0)+IFERROR(IF(AC93+1&gt;LARGE(AC$7:AC$126,1)-2*LEN(AC$5),1),0)+IFERROR(IF(AD93+1&gt;LARGE(AD$7:AD$126,1)-2*LEN(AD$5),1),0)+IFERROR(IF(AE93+1&gt;LARGE(AE$7:AE$126,1)-2*LEN(AE$5),1),0)+IFERROR(IF(AF93+1&gt;LARGE(AF$7:AF$126,1)-2*LEN(AF$5),1),0)+IFERROR(IF(AG93+1&gt;LARGE(AG$7:AG$126,1)-2*LEN(AG$5),1),0)+IFERROR(IF(AH93+1&gt;LARGE(AH$7:AH$126,1)-2*LEN(AH$5),1),0)+IFERROR(IF(AI93+1&gt;LARGE(AI$7:AI$126,1)-2*LEN(AI$5),1),0)</f>
        <v>0</v>
      </c>
      <c r="AP93" s="126">
        <f>IF(Z93=0,0,IF(Z93=IFERROR(LARGE(Z$7:Z$126,1),0),1,0))+IF(AA93=0,0,IF(AA93=IFERROR(LARGE(AA$7:AA$126,1),0),1,0))+IF(AB93=0,0,IF(AB93=IFERROR(LARGE(AB$7:AB$126,1),0),1,0))+IF(AC93=0,0,IF(AC93=IFERROR(LARGE(AC$7:AC$126,1),0),1,0))+IF(AD93=0,0,IF(AD93=IFERROR(LARGE(AD$7:AD$126,1),0),1,0))+IF(AE93=0,0,IF(AE93=IFERROR(LARGE(AE$7:AE$126,1),0),1,0))+IF(AF93=0,0,IF(AF93=IFERROR(LARGE(AF$7:AF$126,1),0),1,0))+IF(AG93=0,0,IF(AG93=IFERROR(LARGE(AG$7:AG$126,1),0),1,0))+IF(AH93=0,0,IF(AH93=IFERROR(LARGE(AH$7:AH$126,1),0),1,0))+IF(AI93=0,0,IF(AI93=IFERROR(LARGE(AI$7:AI$126,1),0),1,0))</f>
        <v>0</v>
      </c>
      <c r="AQ93" s="233"/>
      <c r="AR93" s="233"/>
      <c r="AS93" s="233"/>
      <c r="AT93" s="234">
        <f>SMALL(AU93:BD93,AT$3)</f>
        <v>0.0001</v>
      </c>
      <c r="AU93" s="235">
        <f>IF(Z93="  ",0+MID(Z$6,FIND("V",Z$6)+1,256)/10000,Z93+MID(Z$6,FIND("V",Z$6)+1,256)/10000)</f>
        <v>0.0001</v>
      </c>
      <c r="AV93" s="235">
        <f>IF(AA93="  ",0+MID(AA$6,FIND("V",AA$6)+1,256)/10000,AA93+MID(AA$6,FIND("V",AA$6)+1,256)/10000)</f>
        <v>0.0002</v>
      </c>
      <c r="AW93" s="235">
        <f>IF(AB93="  ",0+MID(AB$6,FIND("V",AB$6)+1,256)/10000,AB93+MID(AB$6,FIND("V",AB$6)+1,256)/10000)</f>
        <v>0.0003</v>
      </c>
      <c r="AX93" s="235">
        <f>IF(AC93="  ",0+MID(AC$6,FIND("V",AC$6)+1,256)/10000,AC93+MID(AC$6,FIND("V",AC$6)+1,256)/10000)</f>
        <v>0.0004</v>
      </c>
      <c r="AY93" s="235">
        <f>IF(AD93="  ",0+MID(AD$6,FIND("V",AD$6)+1,256)/10000,AD93+MID(AD$6,FIND("V",AD$6)+1,256)/10000)</f>
        <v>0.0005</v>
      </c>
      <c r="AZ93" s="235">
        <f>IF(AE93="  ",0+MID(AE$6,FIND("V",AE$6)+1,256)/10000,AE93+MID(AE$6,FIND("V",AE$6)+1,256)/10000)</f>
        <v>0.0006</v>
      </c>
      <c r="BA93" s="235">
        <f>IF(AF93="  ",0+MID(AF$6,FIND("V",AF$6)+1,256)/10000,AF93+MID(AF$6,FIND("V",AF$6)+1,256)/10000)</f>
        <v>0.0007</v>
      </c>
      <c r="BB93" s="235">
        <f>IF(AG93="  ",0+MID(AG$6,FIND("V",AG$6)+1,256)/10000,AG93+MID(AG$6,FIND("V",AG$6)+1,256)/10000)</f>
        <v>0.0008</v>
      </c>
      <c r="BC93" s="235">
        <f>IF(AH93="  ",0+MID(AH$6,FIND("V",AH$6)+1,256)/10000,AH93+MID(AH$6,FIND("V",AH$6)+1,256)/10000)</f>
        <v>0.0009</v>
      </c>
      <c r="BD93" s="235">
        <f>IF(AI93="  ",0+MID(AI$6,FIND("V",AI$6)+1,256)/10000,AI93+MID(AI$6,FIND("V",AI$6)+1,256)/10000)</f>
        <v>0.001</v>
      </c>
      <c r="BE93" s="233"/>
      <c r="BF93" s="233"/>
      <c r="BG93" s="233"/>
      <c r="BH93" s="233"/>
      <c r="BI93" s="3" t="e">
        <f>(LARGE(Z$7:Z$126,1)-Z93)/2+1</f>
        <v>#VALUE!</v>
      </c>
      <c r="BJ93" s="3" t="e">
        <f>(LARGE(AA$7:AA$126,1)-AA93)/2+1</f>
        <v>#VALUE!</v>
      </c>
      <c r="BK93" s="3" t="e">
        <f>(LARGE(AB$7:AB$126,1)-AB93)/2+1</f>
        <v>#VALUE!</v>
      </c>
      <c r="BL93" s="3" t="e">
        <f>(LARGE(AC$7:AC$126,1)-AC93)/2+1</f>
        <v>#VALUE!</v>
      </c>
      <c r="BM93" s="3" t="e">
        <f>(LARGE(AD$7:AD$126,1)-AD93)/2+1</f>
        <v>#VALUE!</v>
      </c>
      <c r="BN93" s="3" t="e">
        <f>(LARGE(AE$7:AE$126,1)-AE93)/2+1</f>
        <v>#VALUE!</v>
      </c>
      <c r="BO93" s="3" t="e">
        <f>(LARGE(AF$7:AF$126,1)-AF93)/2+1</f>
        <v>#VALUE!</v>
      </c>
      <c r="BP93" s="3" t="e">
        <f>(LARGE(AG$7:AG$126,1)-AG93)/2+1</f>
        <v>#VALUE!</v>
      </c>
      <c r="BQ93" s="3" t="e">
        <f>(LARGE(AH$7:AH$126,1)-AH93)/2+1</f>
        <v>#NUM!</v>
      </c>
      <c r="BR93" s="3" t="e">
        <f>(LARGE(AI$7:AI$126,1)-AI93)/2+1</f>
        <v>#NUM!</v>
      </c>
    </row>
    <row r="94" ht="12.75" hidden="1" customHeight="1" spans="1:70">
      <c r="A94" s="139" t="str">
        <f>IF(R94&gt;0,IF(Q94="Viru SK",RANK(B94,B$7:B$126,1)-COUNTIF((Q$7:Q$126),"&lt;&gt;Viru SK"),""),"")</f>
        <v/>
      </c>
      <c r="B94" s="140">
        <f>IF((Q94="Viru SK"),U94,U94-1000)</f>
        <v>-880</v>
      </c>
      <c r="C94" s="141" t="str">
        <f>IF(R94&gt;0,IF(P94="t",RANK(D94,D$7:D$126,1)-COUNTBLANK(P$7:P$126),""),"")</f>
        <v/>
      </c>
      <c r="D94" s="142">
        <f>IF((P94="t"),U94,U94-1000)</f>
        <v>-880</v>
      </c>
      <c r="E94" s="143" t="str">
        <f>IF(R94&gt;0,IF(N94="m",RANK(F94,F$7:F$126,1)-COUNTBLANK(N$7:N$126),""),"")</f>
        <v/>
      </c>
      <c r="F94" s="144">
        <f>IF((N94="m"),U94,U94-1000)</f>
        <v>-880</v>
      </c>
      <c r="G94" s="145" t="str">
        <f>IF(R94&gt;0,IF(M94="n",RANK(H94,H$7:H$126,1)-COUNTBLANK(M$7:M$126),""),"")</f>
        <v/>
      </c>
      <c r="H94" s="144">
        <f>IF((M94="n"),U94,U94-1000)</f>
        <v>120</v>
      </c>
      <c r="I94" s="160" t="str">
        <f>IF(R94&gt;0,IF(O94="j",RANK(J94,J$7:J$126,1)-COUNTBLANK(O$7:O$126),""),"")</f>
        <v/>
      </c>
      <c r="J94" s="161">
        <f>IF((O94="j"),U94,U94-1000)</f>
        <v>-880</v>
      </c>
      <c r="K94" s="162" t="str">
        <f>IF(R94&gt;0,RANK(U94,U$7:U$126,1),"")</f>
        <v/>
      </c>
      <c r="L94" s="163" t="s">
        <v>285</v>
      </c>
      <c r="M94" s="164" t="s">
        <v>203</v>
      </c>
      <c r="N94" s="165"/>
      <c r="O94" s="166"/>
      <c r="P94" s="167"/>
      <c r="Q94" s="192"/>
      <c r="R94" s="154">
        <f>(IF(COUNT(Z94,AA94,AB94,AC94,AD94,AE94,AF94,AG94,AH94,AI94)&lt;10,SUM(Z94,AA94,AB94,AC94,AD94,AE94,AF94,AG94,AH94,AI94),SUM(LARGE((Z94,AA94,AB94,AC94,AD94,AE94,AF94,AG94,AH94,AI94),{1;2;3;4;5;6;7;8;9}))))</f>
        <v>0</v>
      </c>
      <c r="S94" s="193" t="str">
        <f>INDEX(ETAPP!B$1:B$32,MATCH(COUNTIF(BI94:BR94,1),ETAPP!A$1:A$32,0))&amp;INDEX(ETAPP!B$1:B$32,MATCH(COUNTIF(BI94:BR94,2),ETAPP!A$1:A$32,0))&amp;INDEX(ETAPP!B$1:B$32,MATCH(COUNTIF(BI94:BR94,3),ETAPP!A$1:A$32,0))&amp;INDEX(ETAPP!B$1:B$32,MATCH(COUNTIF(BI94:BR94,4),ETAPP!A$1:A$32,0))&amp;INDEX(ETAPP!B$1:B$32,MATCH(COUNTIF(BI94:BR94,5),ETAPP!A$1:A$32,0))&amp;INDEX(ETAPP!B$1:B$32,MATCH(COUNTIF(BI94:BR94,6),ETAPP!A$1:A$32,0))&amp;INDEX(ETAPP!B$1:B$32,MATCH(COUNTIF(BI94:BR94,7),ETAPP!A$1:A$32,0))&amp;INDEX(ETAPP!B$1:B$32,MATCH(COUNTIF(BI94:BR94,8),ETAPP!A$1:A$32,0))&amp;INDEX(ETAPP!B$1:B$32,MATCH(COUNTIF(BI94:BR94,9),ETAPP!A$1:A$32,0))&amp;INDEX(ETAPP!B$1:B$32,MATCH(COUNTIF(BI94:BR94,10),ETAPP!A$1:A$32,0))&amp;INDEX(ETAPP!B$1:B$32,MATCH(COUNTIF(BI94:BR94,11),ETAPP!A$1:A$32,0))&amp;INDEX(ETAPP!B$1:B$32,MATCH(COUNTIF(BI94:BR94,12),ETAPP!A$1:A$32,0))&amp;INDEX(ETAPP!B$1:B$32,MATCH(COUNTIF(BI94:BR94,13),ETAPP!A$1:A$32,0))&amp;INDEX(ETAPP!B$1:B$32,MATCH(COUNTIF(BI94:BR94,14),ETAPP!A$1:A$32,0))&amp;INDEX(ETAPP!B$1:B$32,MATCH(COUNTIF(BI94:BR94,15),ETAPP!A$1:A$32,0))&amp;INDEX(ETAPP!B$1:B$32,MATCH(COUNTIF(BI94:BR94,16),ETAPP!A$1:A$32,0))&amp;INDEX(ETAPP!B$1:B$32,MATCH(COUNTIF(BI94:BR94,17),ETAPP!A$1:A$32,0))&amp;INDEX(ETAPP!B$1:B$32,MATCH(COUNTIF(BI94:BR94,18),ETAPP!A$1:A$32,0))&amp;INDEX(ETAPP!B$1:B$32,MATCH(COUNTIF(BI94:BR94,19),ETAPP!A$1:A$32,0))&amp;INDEX(ETAPP!B$1:B$32,MATCH(COUNTIF(BI94:BR94,20),ETAPP!A$1:A$32,0))&amp;INDEX(ETAPP!B$1:B$32,MATCH(COUNTIF(BI94:BR94,21),ETAPP!A$1:A$32,0))</f>
        <v>000000000000000000000</v>
      </c>
      <c r="T94" s="193" t="str">
        <f>TEXT(R94,"000,0")&amp;"-"&amp;S94</f>
        <v>000,0-000000000000000000000</v>
      </c>
      <c r="U94" s="193">
        <f>COUNTIF(T$7:T$126,"&gt;="&amp;T94)</f>
        <v>120</v>
      </c>
      <c r="V94" s="193">
        <f>COUNTIF(L$7:L$126,"&gt;="&amp;L94)</f>
        <v>59</v>
      </c>
      <c r="W94" s="193" t="str">
        <f>TEXT(R94,"000,0")&amp;"-"&amp;S94&amp;"-"&amp;TEXT(V94,"000")</f>
        <v>000,0-000000000000000000000-059</v>
      </c>
      <c r="X94" s="193">
        <f>COUNTIF(W$7:W$126,"&gt;="&amp;W94)</f>
        <v>88</v>
      </c>
      <c r="Y94" s="201">
        <f>RANK(X94,X$7:X$126,0)</f>
        <v>33</v>
      </c>
      <c r="Z94" s="202" t="str">
        <f>IFERROR(INDEX('V1'!C$300:C$400,MATCH("*"&amp;L94&amp;"*",'V1'!B$300:B$400,0)),"  ")</f>
        <v>  </v>
      </c>
      <c r="AA94" s="202" t="str">
        <f>IFERROR(INDEX('V2'!C$300:C$400,MATCH("*"&amp;L94&amp;"*",'V2'!B$300:B$400,0)),"  ")</f>
        <v>  </v>
      </c>
      <c r="AB94" s="202" t="str">
        <f>IFERROR(INDEX('V3'!C$300:C$400,MATCH("*"&amp;L94&amp;"*",'V3'!B$300:B$400,0)),"  ")</f>
        <v>  </v>
      </c>
      <c r="AC94" s="202" t="str">
        <f>IFERROR(INDEX('V4'!C$300:C$400,MATCH("*"&amp;L94&amp;"*",'V4'!B$300:B$400,0)),"  ")</f>
        <v>  </v>
      </c>
      <c r="AD94" s="202" t="str">
        <f>IFERROR(INDEX('V5'!C$300:C$400,MATCH("*"&amp;L94&amp;"*",'V5'!B$300:B$400,0)),"  ")</f>
        <v>  </v>
      </c>
      <c r="AE94" s="202" t="str">
        <f>IFERROR(INDEX('V6'!C$300:C$400,MATCH("*"&amp;L94&amp;"*",'V6'!B$300:B$400,0)),"  ")</f>
        <v>  </v>
      </c>
      <c r="AF94" s="202" t="str">
        <f>IFERROR(INDEX('V7'!C$300:C$400,MATCH("*"&amp;L94&amp;"*",'V7'!B$300:B$400,0)),"  ")</f>
        <v>  </v>
      </c>
      <c r="AG94" s="202" t="str">
        <f>IFERROR(INDEX('V8'!C$300:C$400,MATCH("*"&amp;L94&amp;"*",'V8'!B$300:B$400,0)),"  ")</f>
        <v>  </v>
      </c>
      <c r="AH94" s="202"/>
      <c r="AI94" s="202"/>
      <c r="AJ94" s="222" t="str">
        <f>IF(AN94&gt;(AT$2-1),K94,"")</f>
        <v/>
      </c>
      <c r="AK94" s="223">
        <f>SUM(Z94:AI94)</f>
        <v>0</v>
      </c>
      <c r="AL94" s="224" t="str">
        <f>IFERROR("edasi "&amp;RANK(AJ94,AJ$7:AJ$126,1),K94)</f>
        <v/>
      </c>
      <c r="AM94" s="225" t="str">
        <f>IFERROR(INDEX(#REF!,MATCH("*"&amp;L94&amp;"*",#REF!,0)),"  ")</f>
        <v>  </v>
      </c>
      <c r="AN94" s="226">
        <f>COUNTIF(Z94:AI94,"&gt;=0")</f>
        <v>0</v>
      </c>
      <c r="AO94" s="126">
        <f>IFERROR(IF(Z94+1&gt;LARGE(Z$7:Z$126,1)-2*LEN(Z$5),1),0)+IFERROR(IF(AA94+1&gt;LARGE(AA$7:AA$126,1)-2*LEN(AA$5),1),0)+IFERROR(IF(AB94+1&gt;LARGE(AB$7:AB$126,1)-2*LEN(AB$5),1),0)+IFERROR(IF(AC94+1&gt;LARGE(AC$7:AC$126,1)-2*LEN(AC$5),1),0)+IFERROR(IF(AD94+1&gt;LARGE(AD$7:AD$126,1)-2*LEN(AD$5),1),0)+IFERROR(IF(AE94+1&gt;LARGE(AE$7:AE$126,1)-2*LEN(AE$5),1),0)+IFERROR(IF(AF94+1&gt;LARGE(AF$7:AF$126,1)-2*LEN(AF$5),1),0)+IFERROR(IF(AG94+1&gt;LARGE(AG$7:AG$126,1)-2*LEN(AG$5),1),0)+IFERROR(IF(AH94+1&gt;LARGE(AH$7:AH$126,1)-2*LEN(AH$5),1),0)+IFERROR(IF(AI94+1&gt;LARGE(AI$7:AI$126,1)-2*LEN(AI$5),1),0)</f>
        <v>0</v>
      </c>
      <c r="AP94" s="126">
        <f>IF(Z94=0,0,IF(Z94=IFERROR(LARGE(Z$7:Z$126,1),0),1,0))+IF(AA94=0,0,IF(AA94=IFERROR(LARGE(AA$7:AA$126,1),0),1,0))+IF(AB94=0,0,IF(AB94=IFERROR(LARGE(AB$7:AB$126,1),0),1,0))+IF(AC94=0,0,IF(AC94=IFERROR(LARGE(AC$7:AC$126,1),0),1,0))+IF(AD94=0,0,IF(AD94=IFERROR(LARGE(AD$7:AD$126,1),0),1,0))+IF(AE94=0,0,IF(AE94=IFERROR(LARGE(AE$7:AE$126,1),0),1,0))+IF(AF94=0,0,IF(AF94=IFERROR(LARGE(AF$7:AF$126,1),0),1,0))+IF(AG94=0,0,IF(AG94=IFERROR(LARGE(AG$7:AG$126,1),0),1,0))+IF(AH94=0,0,IF(AH94=IFERROR(LARGE(AH$7:AH$126,1),0),1,0))+IF(AI94=0,0,IF(AI94=IFERROR(LARGE(AI$7:AI$126,1),0),1,0))</f>
        <v>0</v>
      </c>
      <c r="AQ94" s="233"/>
      <c r="AR94" s="233"/>
      <c r="AS94" s="233"/>
      <c r="AT94" s="234">
        <f>SMALL(AU94:BD94,AT$3)</f>
        <v>0.0001</v>
      </c>
      <c r="AU94" s="235">
        <f>IF(Z94="  ",0+MID(Z$6,FIND("V",Z$6)+1,256)/10000,Z94+MID(Z$6,FIND("V",Z$6)+1,256)/10000)</f>
        <v>0.0001</v>
      </c>
      <c r="AV94" s="235">
        <f>IF(AA94="  ",0+MID(AA$6,FIND("V",AA$6)+1,256)/10000,AA94+MID(AA$6,FIND("V",AA$6)+1,256)/10000)</f>
        <v>0.0002</v>
      </c>
      <c r="AW94" s="235">
        <f>IF(AB94="  ",0+MID(AB$6,FIND("V",AB$6)+1,256)/10000,AB94+MID(AB$6,FIND("V",AB$6)+1,256)/10000)</f>
        <v>0.0003</v>
      </c>
      <c r="AX94" s="235">
        <f>IF(AC94="  ",0+MID(AC$6,FIND("V",AC$6)+1,256)/10000,AC94+MID(AC$6,FIND("V",AC$6)+1,256)/10000)</f>
        <v>0.0004</v>
      </c>
      <c r="AY94" s="235">
        <f>IF(AD94="  ",0+MID(AD$6,FIND("V",AD$6)+1,256)/10000,AD94+MID(AD$6,FIND("V",AD$6)+1,256)/10000)</f>
        <v>0.0005</v>
      </c>
      <c r="AZ94" s="235">
        <f>IF(AE94="  ",0+MID(AE$6,FIND("V",AE$6)+1,256)/10000,AE94+MID(AE$6,FIND("V",AE$6)+1,256)/10000)</f>
        <v>0.0006</v>
      </c>
      <c r="BA94" s="235">
        <f>IF(AF94="  ",0+MID(AF$6,FIND("V",AF$6)+1,256)/10000,AF94+MID(AF$6,FIND("V",AF$6)+1,256)/10000)</f>
        <v>0.0007</v>
      </c>
      <c r="BB94" s="235">
        <f>IF(AG94="  ",0+MID(AG$6,FIND("V",AG$6)+1,256)/10000,AG94+MID(AG$6,FIND("V",AG$6)+1,256)/10000)</f>
        <v>0.0008</v>
      </c>
      <c r="BC94" s="235">
        <f>IF(AH94="  ",0+MID(AH$6,FIND("V",AH$6)+1,256)/10000,AH94+MID(AH$6,FIND("V",AH$6)+1,256)/10000)</f>
        <v>0.0009</v>
      </c>
      <c r="BD94" s="235">
        <f>IF(AI94="  ",0+MID(AI$6,FIND("V",AI$6)+1,256)/10000,AI94+MID(AI$6,FIND("V",AI$6)+1,256)/10000)</f>
        <v>0.001</v>
      </c>
      <c r="BE94" s="233"/>
      <c r="BF94" s="233"/>
      <c r="BG94" s="233"/>
      <c r="BH94" s="233"/>
      <c r="BI94" s="3" t="e">
        <f>(LARGE(Z$7:Z$126,1)-Z94)/2+1</f>
        <v>#VALUE!</v>
      </c>
      <c r="BJ94" s="3" t="e">
        <f>(LARGE(AA$7:AA$126,1)-AA94)/2+1</f>
        <v>#VALUE!</v>
      </c>
      <c r="BK94" s="3" t="e">
        <f>(LARGE(AB$7:AB$126,1)-AB94)/2+1</f>
        <v>#VALUE!</v>
      </c>
      <c r="BL94" s="3" t="e">
        <f>(LARGE(AC$7:AC$126,1)-AC94)/2+1</f>
        <v>#VALUE!</v>
      </c>
      <c r="BM94" s="3" t="e">
        <f>(LARGE(AD$7:AD$126,1)-AD94)/2+1</f>
        <v>#VALUE!</v>
      </c>
      <c r="BN94" s="3" t="e">
        <f>(LARGE(AE$7:AE$126,1)-AE94)/2+1</f>
        <v>#VALUE!</v>
      </c>
      <c r="BO94" s="3" t="e">
        <f>(LARGE(AF$7:AF$126,1)-AF94)/2+1</f>
        <v>#VALUE!</v>
      </c>
      <c r="BP94" s="3" t="e">
        <f>(LARGE(AG$7:AG$126,1)-AG94)/2+1</f>
        <v>#VALUE!</v>
      </c>
      <c r="BQ94" s="3" t="e">
        <f>(LARGE(AH$7:AH$126,1)-AH94)/2+1</f>
        <v>#NUM!</v>
      </c>
      <c r="BR94" s="3" t="e">
        <f>(LARGE(AI$7:AI$126,1)-AI94)/2+1</f>
        <v>#NUM!</v>
      </c>
    </row>
    <row r="95" ht="12.75" hidden="1" customHeight="1" spans="1:70">
      <c r="A95" s="139" t="str">
        <f>IF(R95&gt;0,IF(Q95="Viru SK",RANK(B95,B$7:B$126,1)-COUNTIF((Q$7:Q$126),"&lt;&gt;Viru SK"),""),"")</f>
        <v/>
      </c>
      <c r="B95" s="140">
        <f>IF((Q95="Viru SK"),U95,U95-1000)</f>
        <v>-880</v>
      </c>
      <c r="C95" s="141" t="str">
        <f>IF(R95&gt;0,IF(P95="t",RANK(D95,D$7:D$126,1)-COUNTBLANK(P$7:P$126),""),"")</f>
        <v/>
      </c>
      <c r="D95" s="142">
        <f>IF((P95="t"),U95,U95-1000)</f>
        <v>-880</v>
      </c>
      <c r="E95" s="143" t="str">
        <f>IF(R95&gt;0,IF(N95="m",RANK(F95,F$7:F$126,1)-COUNTBLANK(N$7:N$126),""),"")</f>
        <v/>
      </c>
      <c r="F95" s="144">
        <f>IF((N95="m"),U95,U95-1000)</f>
        <v>120</v>
      </c>
      <c r="G95" s="145" t="str">
        <f>IF(R95&gt;0,IF(M95="n",RANK(H95,H$7:H$126,1)-COUNTBLANK(M$7:M$126),""),"")</f>
        <v/>
      </c>
      <c r="H95" s="144">
        <f>IF((M95="n"),U95,U95-1000)</f>
        <v>-880</v>
      </c>
      <c r="I95" s="160" t="str">
        <f>IF(R95&gt;0,IF(O95="j",RANK(J95,J$7:J$126,1)-COUNTBLANK(O$7:O$126),""),"")</f>
        <v/>
      </c>
      <c r="J95" s="161">
        <f>IF((O95="j"),U95,U95-1000)</f>
        <v>-880</v>
      </c>
      <c r="K95" s="162" t="str">
        <f>IF(R95&gt;0,RANK(U95,U$7:U$126,1),"")</f>
        <v/>
      </c>
      <c r="L95" s="163" t="s">
        <v>286</v>
      </c>
      <c r="M95" s="164"/>
      <c r="N95" s="165" t="str">
        <f>IF(M95="","m","")</f>
        <v>m</v>
      </c>
      <c r="O95" s="166"/>
      <c r="P95" s="167"/>
      <c r="Q95" s="192"/>
      <c r="R95" s="154">
        <f>(IF(COUNT(Z95,AA95,AB95,AC95,AD95,AE95,AF95,AG95,AH95,AI95)&lt;10,SUM(Z95,AA95,AB95,AC95,AD95,AE95,AF95,AG95,AH95,AI95),SUM(LARGE((Z95,AA95,AB95,AC95,AD95,AE95,AF95,AG95,AH95,AI95),{1;2;3;4;5;6;7;8;9}))))</f>
        <v>0</v>
      </c>
      <c r="S95" s="193" t="str">
        <f>INDEX(ETAPP!B$1:B$32,MATCH(COUNTIF(BI95:BR95,1),ETAPP!A$1:A$32,0))&amp;INDEX(ETAPP!B$1:B$32,MATCH(COUNTIF(BI95:BR95,2),ETAPP!A$1:A$32,0))&amp;INDEX(ETAPP!B$1:B$32,MATCH(COUNTIF(BI95:BR95,3),ETAPP!A$1:A$32,0))&amp;INDEX(ETAPP!B$1:B$32,MATCH(COUNTIF(BI95:BR95,4),ETAPP!A$1:A$32,0))&amp;INDEX(ETAPP!B$1:B$32,MATCH(COUNTIF(BI95:BR95,5),ETAPP!A$1:A$32,0))&amp;INDEX(ETAPP!B$1:B$32,MATCH(COUNTIF(BI95:BR95,6),ETAPP!A$1:A$32,0))&amp;INDEX(ETAPP!B$1:B$32,MATCH(COUNTIF(BI95:BR95,7),ETAPP!A$1:A$32,0))&amp;INDEX(ETAPP!B$1:B$32,MATCH(COUNTIF(BI95:BR95,8),ETAPP!A$1:A$32,0))&amp;INDEX(ETAPP!B$1:B$32,MATCH(COUNTIF(BI95:BR95,9),ETAPP!A$1:A$32,0))&amp;INDEX(ETAPP!B$1:B$32,MATCH(COUNTIF(BI95:BR95,10),ETAPP!A$1:A$32,0))&amp;INDEX(ETAPP!B$1:B$32,MATCH(COUNTIF(BI95:BR95,11),ETAPP!A$1:A$32,0))&amp;INDEX(ETAPP!B$1:B$32,MATCH(COUNTIF(BI95:BR95,12),ETAPP!A$1:A$32,0))&amp;INDEX(ETAPP!B$1:B$32,MATCH(COUNTIF(BI95:BR95,13),ETAPP!A$1:A$32,0))&amp;INDEX(ETAPP!B$1:B$32,MATCH(COUNTIF(BI95:BR95,14),ETAPP!A$1:A$32,0))&amp;INDEX(ETAPP!B$1:B$32,MATCH(COUNTIF(BI95:BR95,15),ETAPP!A$1:A$32,0))&amp;INDEX(ETAPP!B$1:B$32,MATCH(COUNTIF(BI95:BR95,16),ETAPP!A$1:A$32,0))&amp;INDEX(ETAPP!B$1:B$32,MATCH(COUNTIF(BI95:BR95,17),ETAPP!A$1:A$32,0))&amp;INDEX(ETAPP!B$1:B$32,MATCH(COUNTIF(BI95:BR95,18),ETAPP!A$1:A$32,0))&amp;INDEX(ETAPP!B$1:B$32,MATCH(COUNTIF(BI95:BR95,19),ETAPP!A$1:A$32,0))&amp;INDEX(ETAPP!B$1:B$32,MATCH(COUNTIF(BI95:BR95,20),ETAPP!A$1:A$32,0))&amp;INDEX(ETAPP!B$1:B$32,MATCH(COUNTIF(BI95:BR95,21),ETAPP!A$1:A$32,0))</f>
        <v>000000000000000000000</v>
      </c>
      <c r="T95" s="193" t="str">
        <f>TEXT(R95,"000,0")&amp;"-"&amp;S95</f>
        <v>000,0-000000000000000000000</v>
      </c>
      <c r="U95" s="193">
        <f>COUNTIF(T$7:T$126,"&gt;="&amp;T95)</f>
        <v>120</v>
      </c>
      <c r="V95" s="193">
        <f>COUNTIF(L$7:L$126,"&gt;="&amp;L95)</f>
        <v>58</v>
      </c>
      <c r="W95" s="193" t="str">
        <f>TEXT(R95,"000,0")&amp;"-"&amp;S95&amp;"-"&amp;TEXT(V95,"000")</f>
        <v>000,0-000000000000000000000-058</v>
      </c>
      <c r="X95" s="193">
        <f>COUNTIF(W$7:W$126,"&gt;="&amp;W95)</f>
        <v>89</v>
      </c>
      <c r="Y95" s="201">
        <f>RANK(X95,X$7:X$126,0)</f>
        <v>32</v>
      </c>
      <c r="Z95" s="202" t="str">
        <f>IFERROR(INDEX('V1'!C$300:C$400,MATCH("*"&amp;L95&amp;"*",'V1'!B$300:B$400,0)),"  ")</f>
        <v>  </v>
      </c>
      <c r="AA95" s="202" t="str">
        <f>IFERROR(INDEX('V2'!C$300:C$400,MATCH("*"&amp;L95&amp;"*",'V2'!B$300:B$400,0)),"  ")</f>
        <v>  </v>
      </c>
      <c r="AB95" s="202" t="str">
        <f>IFERROR(INDEX('V3'!C$300:C$400,MATCH("*"&amp;L95&amp;"*",'V3'!B$300:B$400,0)),"  ")</f>
        <v>  </v>
      </c>
      <c r="AC95" s="202" t="str">
        <f>IFERROR(INDEX('V4'!C$300:C$400,MATCH("*"&amp;L95&amp;"*",'V4'!B$300:B$400,0)),"  ")</f>
        <v>  </v>
      </c>
      <c r="AD95" s="202" t="str">
        <f>IFERROR(INDEX('V5'!C$300:C$400,MATCH("*"&amp;L95&amp;"*",'V5'!B$300:B$400,0)),"  ")</f>
        <v>  </v>
      </c>
      <c r="AE95" s="202" t="str">
        <f>IFERROR(INDEX('V6'!C$300:C$400,MATCH("*"&amp;L95&amp;"*",'V6'!B$300:B$400,0)),"  ")</f>
        <v>  </v>
      </c>
      <c r="AF95" s="202" t="str">
        <f>IFERROR(INDEX('V7'!C$300:C$400,MATCH("*"&amp;L95&amp;"*",'V7'!B$300:B$400,0)),"  ")</f>
        <v>  </v>
      </c>
      <c r="AG95" s="202" t="str">
        <f>IFERROR(INDEX('V8'!C$300:C$400,MATCH("*"&amp;L95&amp;"*",'V8'!B$300:B$400,0)),"  ")</f>
        <v>  </v>
      </c>
      <c r="AH95" s="202"/>
      <c r="AI95" s="202"/>
      <c r="AJ95" s="222" t="str">
        <f>IF(AN95&gt;(AT$2-1),K95,"")</f>
        <v/>
      </c>
      <c r="AK95" s="223">
        <f>SUM(Z95:AI95)</f>
        <v>0</v>
      </c>
      <c r="AL95" s="224" t="str">
        <f>IFERROR("edasi "&amp;RANK(AJ95,AJ$7:AJ$126,1),K95)</f>
        <v/>
      </c>
      <c r="AM95" s="225" t="str">
        <f>IFERROR(INDEX(#REF!,MATCH("*"&amp;L95&amp;"*",#REF!,0)),"  ")</f>
        <v>  </v>
      </c>
      <c r="AN95" s="226">
        <f>COUNTIF(Z95:AI95,"&gt;=0")</f>
        <v>0</v>
      </c>
      <c r="AO95" s="126">
        <f>IFERROR(IF(Z95+1&gt;LARGE(Z$7:Z$126,1)-2*LEN(Z$5),1),0)+IFERROR(IF(AA95+1&gt;LARGE(AA$7:AA$126,1)-2*LEN(AA$5),1),0)+IFERROR(IF(AB95+1&gt;LARGE(AB$7:AB$126,1)-2*LEN(AB$5),1),0)+IFERROR(IF(AC95+1&gt;LARGE(AC$7:AC$126,1)-2*LEN(AC$5),1),0)+IFERROR(IF(AD95+1&gt;LARGE(AD$7:AD$126,1)-2*LEN(AD$5),1),0)+IFERROR(IF(AE95+1&gt;LARGE(AE$7:AE$126,1)-2*LEN(AE$5),1),0)+IFERROR(IF(AF95+1&gt;LARGE(AF$7:AF$126,1)-2*LEN(AF$5),1),0)+IFERROR(IF(AG95+1&gt;LARGE(AG$7:AG$126,1)-2*LEN(AG$5),1),0)+IFERROR(IF(AH95+1&gt;LARGE(AH$7:AH$126,1)-2*LEN(AH$5),1),0)+IFERROR(IF(AI95+1&gt;LARGE(AI$7:AI$126,1)-2*LEN(AI$5),1),0)</f>
        <v>0</v>
      </c>
      <c r="AP95" s="126">
        <f>IF(Z95=0,0,IF(Z95=IFERROR(LARGE(Z$7:Z$126,1),0),1,0))+IF(AA95=0,0,IF(AA95=IFERROR(LARGE(AA$7:AA$126,1),0),1,0))+IF(AB95=0,0,IF(AB95=IFERROR(LARGE(AB$7:AB$126,1),0),1,0))+IF(AC95=0,0,IF(AC95=IFERROR(LARGE(AC$7:AC$126,1),0),1,0))+IF(AD95=0,0,IF(AD95=IFERROR(LARGE(AD$7:AD$126,1),0),1,0))+IF(AE95=0,0,IF(AE95=IFERROR(LARGE(AE$7:AE$126,1),0),1,0))+IF(AF95=0,0,IF(AF95=IFERROR(LARGE(AF$7:AF$126,1),0),1,0))+IF(AG95=0,0,IF(AG95=IFERROR(LARGE(AG$7:AG$126,1),0),1,0))+IF(AH95=0,0,IF(AH95=IFERROR(LARGE(AH$7:AH$126,1),0),1,0))+IF(AI95=0,0,IF(AI95=IFERROR(LARGE(AI$7:AI$126,1),0),1,0))</f>
        <v>0</v>
      </c>
      <c r="AQ95" s="233"/>
      <c r="AR95" s="233"/>
      <c r="AS95" s="233"/>
      <c r="AT95" s="234">
        <f>SMALL(AU95:BD95,AT$3)</f>
        <v>0.0001</v>
      </c>
      <c r="AU95" s="235">
        <f>IF(Z95="  ",0+MID(Z$6,FIND("V",Z$6)+1,256)/10000,Z95+MID(Z$6,FIND("V",Z$6)+1,256)/10000)</f>
        <v>0.0001</v>
      </c>
      <c r="AV95" s="235">
        <f>IF(AA95="  ",0+MID(AA$6,FIND("V",AA$6)+1,256)/10000,AA95+MID(AA$6,FIND("V",AA$6)+1,256)/10000)</f>
        <v>0.0002</v>
      </c>
      <c r="AW95" s="235">
        <f>IF(AB95="  ",0+MID(AB$6,FIND("V",AB$6)+1,256)/10000,AB95+MID(AB$6,FIND("V",AB$6)+1,256)/10000)</f>
        <v>0.0003</v>
      </c>
      <c r="AX95" s="235">
        <f>IF(AC95="  ",0+MID(AC$6,FIND("V",AC$6)+1,256)/10000,AC95+MID(AC$6,FIND("V",AC$6)+1,256)/10000)</f>
        <v>0.0004</v>
      </c>
      <c r="AY95" s="235">
        <f>IF(AD95="  ",0+MID(AD$6,FIND("V",AD$6)+1,256)/10000,AD95+MID(AD$6,FIND("V",AD$6)+1,256)/10000)</f>
        <v>0.0005</v>
      </c>
      <c r="AZ95" s="235">
        <f>IF(AE95="  ",0+MID(AE$6,FIND("V",AE$6)+1,256)/10000,AE95+MID(AE$6,FIND("V",AE$6)+1,256)/10000)</f>
        <v>0.0006</v>
      </c>
      <c r="BA95" s="235">
        <f>IF(AF95="  ",0+MID(AF$6,FIND("V",AF$6)+1,256)/10000,AF95+MID(AF$6,FIND("V",AF$6)+1,256)/10000)</f>
        <v>0.0007</v>
      </c>
      <c r="BB95" s="235">
        <f>IF(AG95="  ",0+MID(AG$6,FIND("V",AG$6)+1,256)/10000,AG95+MID(AG$6,FIND("V",AG$6)+1,256)/10000)</f>
        <v>0.0008</v>
      </c>
      <c r="BC95" s="235">
        <f>IF(AH95="  ",0+MID(AH$6,FIND("V",AH$6)+1,256)/10000,AH95+MID(AH$6,FIND("V",AH$6)+1,256)/10000)</f>
        <v>0.0009</v>
      </c>
      <c r="BD95" s="235">
        <f>IF(AI95="  ",0+MID(AI$6,FIND("V",AI$6)+1,256)/10000,AI95+MID(AI$6,FIND("V",AI$6)+1,256)/10000)</f>
        <v>0.001</v>
      </c>
      <c r="BE95" s="233"/>
      <c r="BF95" s="233"/>
      <c r="BG95" s="233"/>
      <c r="BH95" s="233"/>
      <c r="BI95" s="3" t="e">
        <f>(LARGE(Z$7:Z$126,1)-Z95)/2+1</f>
        <v>#VALUE!</v>
      </c>
      <c r="BJ95" s="3" t="e">
        <f>(LARGE(AA$7:AA$126,1)-AA95)/2+1</f>
        <v>#VALUE!</v>
      </c>
      <c r="BK95" s="3" t="e">
        <f>(LARGE(AB$7:AB$126,1)-AB95)/2+1</f>
        <v>#VALUE!</v>
      </c>
      <c r="BL95" s="3" t="e">
        <f>(LARGE(AC$7:AC$126,1)-AC95)/2+1</f>
        <v>#VALUE!</v>
      </c>
      <c r="BM95" s="3" t="e">
        <f>(LARGE(AD$7:AD$126,1)-AD95)/2+1</f>
        <v>#VALUE!</v>
      </c>
      <c r="BN95" s="3" t="e">
        <f>(LARGE(AE$7:AE$126,1)-AE95)/2+1</f>
        <v>#VALUE!</v>
      </c>
      <c r="BO95" s="3" t="e">
        <f>(LARGE(AF$7:AF$126,1)-AF95)/2+1</f>
        <v>#VALUE!</v>
      </c>
      <c r="BP95" s="3" t="e">
        <f>(LARGE(AG$7:AG$126,1)-AG95)/2+1</f>
        <v>#VALUE!</v>
      </c>
      <c r="BQ95" s="3" t="e">
        <f>(LARGE(AH$7:AH$126,1)-AH95)/2+1</f>
        <v>#NUM!</v>
      </c>
      <c r="BR95" s="3" t="e">
        <f>(LARGE(AI$7:AI$126,1)-AI95)/2+1</f>
        <v>#NUM!</v>
      </c>
    </row>
    <row r="96" ht="12.75" hidden="1" customHeight="1" spans="1:70">
      <c r="A96" s="139" t="str">
        <f>IF(R96&gt;0,IF(Q96="Viru SK",RANK(B96,B$7:B$126,1)-COUNTIF((Q$7:Q$126),"&lt;&gt;Viru SK"),""),"")</f>
        <v/>
      </c>
      <c r="B96" s="140">
        <f>IF((Q96="Viru SK"),U96,U96-1000)</f>
        <v>120</v>
      </c>
      <c r="C96" s="141" t="str">
        <f>IF(R96&gt;0,IF(P96="t",RANK(D96,D$7:D$126,1)-COUNTBLANK(P$7:P$126),""),"")</f>
        <v/>
      </c>
      <c r="D96" s="142">
        <f>IF((P96="t"),U96,U96-1000)</f>
        <v>-880</v>
      </c>
      <c r="E96" s="143" t="str">
        <f>IF(R96&gt;0,IF(N96="m",RANK(F96,F$7:F$126,1)-COUNTBLANK(N$7:N$126),""),"")</f>
        <v/>
      </c>
      <c r="F96" s="144">
        <f>IF((N96="m"),U96,U96-1000)</f>
        <v>120</v>
      </c>
      <c r="G96" s="145" t="str">
        <f>IF(R96&gt;0,IF(M96="n",RANK(H96,H$7:H$126,1)-COUNTBLANK(M$7:M$126),""),"")</f>
        <v/>
      </c>
      <c r="H96" s="144">
        <f>IF((M96="n"),U96,U96-1000)</f>
        <v>-880</v>
      </c>
      <c r="I96" s="160" t="str">
        <f>IF(R96&gt;0,IF(O96="j",RANK(J96,J$7:J$126,1)-COUNTBLANK(O$7:O$126),""),"")</f>
        <v/>
      </c>
      <c r="J96" s="161">
        <f>IF((O96="j"),U96,U96-1000)</f>
        <v>120</v>
      </c>
      <c r="K96" s="162" t="str">
        <f>IF(R96&gt;0,RANK(U96,U$7:U$126,1),"")</f>
        <v/>
      </c>
      <c r="L96" s="163" t="s">
        <v>287</v>
      </c>
      <c r="M96" s="164"/>
      <c r="N96" s="165" t="s">
        <v>193</v>
      </c>
      <c r="O96" s="166" t="s">
        <v>251</v>
      </c>
      <c r="P96" s="167"/>
      <c r="Q96" s="192" t="s">
        <v>171</v>
      </c>
      <c r="R96" s="154">
        <f>(IF(COUNT(Z96,AA96,AB96,AC96,AD96,AE96,AF96,AG96,AH96,AI96)&lt;10,SUM(Z96,AA96,AB96,AC96,AD96,AE96,AF96,AG96,AH96,AI96),SUM(LARGE((Z96,AA96,AB96,AC96,AD96,AE96,AF96,AG96,AH96,AI96),{1;2;3;4;5;6;7;8;9}))))</f>
        <v>0</v>
      </c>
      <c r="S96" s="193" t="str">
        <f>INDEX(ETAPP!B$1:B$32,MATCH(COUNTIF(BI96:BR96,1),ETAPP!A$1:A$32,0))&amp;INDEX(ETAPP!B$1:B$32,MATCH(COUNTIF(BI96:BR96,2),ETAPP!A$1:A$32,0))&amp;INDEX(ETAPP!B$1:B$32,MATCH(COUNTIF(BI96:BR96,3),ETAPP!A$1:A$32,0))&amp;INDEX(ETAPP!B$1:B$32,MATCH(COUNTIF(BI96:BR96,4),ETAPP!A$1:A$32,0))&amp;INDEX(ETAPP!B$1:B$32,MATCH(COUNTIF(BI96:BR96,5),ETAPP!A$1:A$32,0))&amp;INDEX(ETAPP!B$1:B$32,MATCH(COUNTIF(BI96:BR96,6),ETAPP!A$1:A$32,0))&amp;INDEX(ETAPP!B$1:B$32,MATCH(COUNTIF(BI96:BR96,7),ETAPP!A$1:A$32,0))&amp;INDEX(ETAPP!B$1:B$32,MATCH(COUNTIF(BI96:BR96,8),ETAPP!A$1:A$32,0))&amp;INDEX(ETAPP!B$1:B$32,MATCH(COUNTIF(BI96:BR96,9),ETAPP!A$1:A$32,0))&amp;INDEX(ETAPP!B$1:B$32,MATCH(COUNTIF(BI96:BR96,10),ETAPP!A$1:A$32,0))&amp;INDEX(ETAPP!B$1:B$32,MATCH(COUNTIF(BI96:BR96,11),ETAPP!A$1:A$32,0))&amp;INDEX(ETAPP!B$1:B$32,MATCH(COUNTIF(BI96:BR96,12),ETAPP!A$1:A$32,0))&amp;INDEX(ETAPP!B$1:B$32,MATCH(COUNTIF(BI96:BR96,13),ETAPP!A$1:A$32,0))&amp;INDEX(ETAPP!B$1:B$32,MATCH(COUNTIF(BI96:BR96,14),ETAPP!A$1:A$32,0))&amp;INDEX(ETAPP!B$1:B$32,MATCH(COUNTIF(BI96:BR96,15),ETAPP!A$1:A$32,0))&amp;INDEX(ETAPP!B$1:B$32,MATCH(COUNTIF(BI96:BR96,16),ETAPP!A$1:A$32,0))&amp;INDEX(ETAPP!B$1:B$32,MATCH(COUNTIF(BI96:BR96,17),ETAPP!A$1:A$32,0))&amp;INDEX(ETAPP!B$1:B$32,MATCH(COUNTIF(BI96:BR96,18),ETAPP!A$1:A$32,0))&amp;INDEX(ETAPP!B$1:B$32,MATCH(COUNTIF(BI96:BR96,19),ETAPP!A$1:A$32,0))&amp;INDEX(ETAPP!B$1:B$32,MATCH(COUNTIF(BI96:BR96,20),ETAPP!A$1:A$32,0))&amp;INDEX(ETAPP!B$1:B$32,MATCH(COUNTIF(BI96:BR96,21),ETAPP!A$1:A$32,0))</f>
        <v>000000000000000000000</v>
      </c>
      <c r="T96" s="193" t="str">
        <f>TEXT(R96,"000,0")&amp;"-"&amp;S96</f>
        <v>000,0-000000000000000000000</v>
      </c>
      <c r="U96" s="193">
        <f>COUNTIF(T$7:T$126,"&gt;="&amp;T96)</f>
        <v>120</v>
      </c>
      <c r="V96" s="193">
        <f>COUNTIF(L$7:L$126,"&gt;="&amp;L96)</f>
        <v>56</v>
      </c>
      <c r="W96" s="193" t="str">
        <f>TEXT(R96,"000,0")&amp;"-"&amp;S96&amp;"-"&amp;TEXT(V96,"000")</f>
        <v>000,0-000000000000000000000-056</v>
      </c>
      <c r="X96" s="193">
        <f>COUNTIF(W$7:W$126,"&gt;="&amp;W96)</f>
        <v>90</v>
      </c>
      <c r="Y96" s="201">
        <f>RANK(X96,X$7:X$126,0)</f>
        <v>31</v>
      </c>
      <c r="Z96" s="202" t="str">
        <f>IFERROR(INDEX('V1'!C$300:C$400,MATCH("*"&amp;L96&amp;"*",'V1'!B$300:B$400,0)),"  ")</f>
        <v>  </v>
      </c>
      <c r="AA96" s="202" t="str">
        <f>IFERROR(INDEX('V2'!C$300:C$400,MATCH("*"&amp;L96&amp;"*",'V2'!B$300:B$400,0)),"  ")</f>
        <v>  </v>
      </c>
      <c r="AB96" s="202" t="str">
        <f>IFERROR(INDEX('V3'!C$300:C$400,MATCH("*"&amp;L96&amp;"*",'V3'!B$300:B$400,0)),"  ")</f>
        <v>  </v>
      </c>
      <c r="AC96" s="202" t="str">
        <f>IFERROR(INDEX('V4'!C$300:C$400,MATCH("*"&amp;L96&amp;"*",'V4'!B$300:B$400,0)),"  ")</f>
        <v>  </v>
      </c>
      <c r="AD96" s="202" t="str">
        <f>IFERROR(INDEX('V5'!C$300:C$400,MATCH("*"&amp;L96&amp;"*",'V5'!B$300:B$400,0)),"  ")</f>
        <v>  </v>
      </c>
      <c r="AE96" s="202" t="str">
        <f>IFERROR(INDEX('V6'!C$300:C$400,MATCH("*"&amp;L96&amp;"*",'V6'!B$300:B$400,0)),"  ")</f>
        <v>  </v>
      </c>
      <c r="AF96" s="202" t="str">
        <f>IFERROR(INDEX('V7'!C$300:C$400,MATCH("*"&amp;L96&amp;"*",'V7'!B$300:B$400,0)),"  ")</f>
        <v>  </v>
      </c>
      <c r="AG96" s="202" t="str">
        <f>IFERROR(INDEX('V8'!C$300:C$400,MATCH("*"&amp;L96&amp;"*",'V8'!B$300:B$400,0)),"  ")</f>
        <v>  </v>
      </c>
      <c r="AH96" s="202"/>
      <c r="AI96" s="202"/>
      <c r="AJ96" s="222" t="str">
        <f>IF(AN96&gt;(AT$2-1),K96,"")</f>
        <v/>
      </c>
      <c r="AK96" s="223">
        <f>SUM(Z96:AI96)</f>
        <v>0</v>
      </c>
      <c r="AL96" s="224" t="str">
        <f>IFERROR("edasi "&amp;RANK(AJ96,AJ$7:AJ$126,1),K96)</f>
        <v/>
      </c>
      <c r="AM96" s="225" t="str">
        <f>IFERROR(INDEX(#REF!,MATCH("*"&amp;L96&amp;"*",#REF!,0)),"  ")</f>
        <v>  </v>
      </c>
      <c r="AN96" s="226">
        <f>COUNTIF(Z96:AI96,"&gt;=0")</f>
        <v>0</v>
      </c>
      <c r="AO96" s="126">
        <f>IFERROR(IF(Z96+1&gt;LARGE(Z$7:Z$126,1)-2*LEN(Z$5),1),0)+IFERROR(IF(AA96+1&gt;LARGE(AA$7:AA$126,1)-2*LEN(AA$5),1),0)+IFERROR(IF(AB96+1&gt;LARGE(AB$7:AB$126,1)-2*LEN(AB$5),1),0)+IFERROR(IF(AC96+1&gt;LARGE(AC$7:AC$126,1)-2*LEN(AC$5),1),0)+IFERROR(IF(AD96+1&gt;LARGE(AD$7:AD$126,1)-2*LEN(AD$5),1),0)+IFERROR(IF(AE96+1&gt;LARGE(AE$7:AE$126,1)-2*LEN(AE$5),1),0)+IFERROR(IF(AF96+1&gt;LARGE(AF$7:AF$126,1)-2*LEN(AF$5),1),0)+IFERROR(IF(AG96+1&gt;LARGE(AG$7:AG$126,1)-2*LEN(AG$5),1),0)+IFERROR(IF(AH96+1&gt;LARGE(AH$7:AH$126,1)-2*LEN(AH$5),1),0)+IFERROR(IF(AI96+1&gt;LARGE(AI$7:AI$126,1)-2*LEN(AI$5),1),0)</f>
        <v>0</v>
      </c>
      <c r="AP96" s="126">
        <f>IF(Z96=0,0,IF(Z96=IFERROR(LARGE(Z$7:Z$126,1),0),1,0))+IF(AA96=0,0,IF(AA96=IFERROR(LARGE(AA$7:AA$126,1),0),1,0))+IF(AB96=0,0,IF(AB96=IFERROR(LARGE(AB$7:AB$126,1),0),1,0))+IF(AC96=0,0,IF(AC96=IFERROR(LARGE(AC$7:AC$126,1),0),1,0))+IF(AD96=0,0,IF(AD96=IFERROR(LARGE(AD$7:AD$126,1),0),1,0))+IF(AE96=0,0,IF(AE96=IFERROR(LARGE(AE$7:AE$126,1),0),1,0))+IF(AF96=0,0,IF(AF96=IFERROR(LARGE(AF$7:AF$126,1),0),1,0))+IF(AG96=0,0,IF(AG96=IFERROR(LARGE(AG$7:AG$126,1),0),1,0))+IF(AH96=0,0,IF(AH96=IFERROR(LARGE(AH$7:AH$126,1),0),1,0))+IF(AI96=0,0,IF(AI96=IFERROR(LARGE(AI$7:AI$126,1),0),1,0))</f>
        <v>0</v>
      </c>
      <c r="AQ96" s="233"/>
      <c r="AR96" s="233"/>
      <c r="AS96" s="233"/>
      <c r="AT96" s="234">
        <f>SMALL(AU96:BD96,AT$3)</f>
        <v>0.0001</v>
      </c>
      <c r="AU96" s="235">
        <f>IF(Z96="  ",0+MID(Z$6,FIND("V",Z$6)+1,256)/10000,Z96+MID(Z$6,FIND("V",Z$6)+1,256)/10000)</f>
        <v>0.0001</v>
      </c>
      <c r="AV96" s="235">
        <f>IF(AA96="  ",0+MID(AA$6,FIND("V",AA$6)+1,256)/10000,AA96+MID(AA$6,FIND("V",AA$6)+1,256)/10000)</f>
        <v>0.0002</v>
      </c>
      <c r="AW96" s="235">
        <f>IF(AB96="  ",0+MID(AB$6,FIND("V",AB$6)+1,256)/10000,AB96+MID(AB$6,FIND("V",AB$6)+1,256)/10000)</f>
        <v>0.0003</v>
      </c>
      <c r="AX96" s="235">
        <f>IF(AC96="  ",0+MID(AC$6,FIND("V",AC$6)+1,256)/10000,AC96+MID(AC$6,FIND("V",AC$6)+1,256)/10000)</f>
        <v>0.0004</v>
      </c>
      <c r="AY96" s="235">
        <f>IF(AD96="  ",0+MID(AD$6,FIND("V",AD$6)+1,256)/10000,AD96+MID(AD$6,FIND("V",AD$6)+1,256)/10000)</f>
        <v>0.0005</v>
      </c>
      <c r="AZ96" s="235">
        <f>IF(AE96="  ",0+MID(AE$6,FIND("V",AE$6)+1,256)/10000,AE96+MID(AE$6,FIND("V",AE$6)+1,256)/10000)</f>
        <v>0.0006</v>
      </c>
      <c r="BA96" s="235">
        <f>IF(AF96="  ",0+MID(AF$6,FIND("V",AF$6)+1,256)/10000,AF96+MID(AF$6,FIND("V",AF$6)+1,256)/10000)</f>
        <v>0.0007</v>
      </c>
      <c r="BB96" s="235">
        <f>IF(AG96="  ",0+MID(AG$6,FIND("V",AG$6)+1,256)/10000,AG96+MID(AG$6,FIND("V",AG$6)+1,256)/10000)</f>
        <v>0.0008</v>
      </c>
      <c r="BC96" s="235">
        <f>IF(AH96="  ",0+MID(AH$6,FIND("V",AH$6)+1,256)/10000,AH96+MID(AH$6,FIND("V",AH$6)+1,256)/10000)</f>
        <v>0.0009</v>
      </c>
      <c r="BD96" s="235">
        <f>IF(AI96="  ",0+MID(AI$6,FIND("V",AI$6)+1,256)/10000,AI96+MID(AI$6,FIND("V",AI$6)+1,256)/10000)</f>
        <v>0.001</v>
      </c>
      <c r="BE96" s="233"/>
      <c r="BF96" s="233"/>
      <c r="BG96" s="233"/>
      <c r="BH96" s="233"/>
      <c r="BI96" s="3" t="e">
        <f>(LARGE(Z$7:Z$126,1)-Z96)/2+1</f>
        <v>#VALUE!</v>
      </c>
      <c r="BJ96" s="3" t="e">
        <f>(LARGE(AA$7:AA$126,1)-AA96)/2+1</f>
        <v>#VALUE!</v>
      </c>
      <c r="BK96" s="3" t="e">
        <f>(LARGE(AB$7:AB$126,1)-AB96)/2+1</f>
        <v>#VALUE!</v>
      </c>
      <c r="BL96" s="3" t="e">
        <f>(LARGE(AC$7:AC$126,1)-AC96)/2+1</f>
        <v>#VALUE!</v>
      </c>
      <c r="BM96" s="3" t="e">
        <f>(LARGE(AD$7:AD$126,1)-AD96)/2+1</f>
        <v>#VALUE!</v>
      </c>
      <c r="BN96" s="3" t="e">
        <f>(LARGE(AE$7:AE$126,1)-AE96)/2+1</f>
        <v>#VALUE!</v>
      </c>
      <c r="BO96" s="3" t="e">
        <f>(LARGE(AF$7:AF$126,1)-AF96)/2+1</f>
        <v>#VALUE!</v>
      </c>
      <c r="BP96" s="3" t="e">
        <f>(LARGE(AG$7:AG$126,1)-AG96)/2+1</f>
        <v>#VALUE!</v>
      </c>
      <c r="BQ96" s="3" t="e">
        <f>(LARGE(AH$7:AH$126,1)-AH96)/2+1</f>
        <v>#NUM!</v>
      </c>
      <c r="BR96" s="3" t="e">
        <f>(LARGE(AI$7:AI$126,1)-AI96)/2+1</f>
        <v>#NUM!</v>
      </c>
    </row>
    <row r="97" ht="12.75" hidden="1" customHeight="1" spans="1:70">
      <c r="A97" s="139" t="str">
        <f>IF(R97&gt;0,IF(Q97="Viru SK",RANK(B97,B$7:B$126,1)-COUNTIF((Q$7:Q$126),"&lt;&gt;Viru SK"),""),"")</f>
        <v/>
      </c>
      <c r="B97" s="140">
        <f>IF((Q97="Viru SK"),U97,U97-1000)</f>
        <v>-880</v>
      </c>
      <c r="C97" s="141" t="str">
        <f>IF(R97&gt;0,IF(P97="t",RANK(D97,D$7:D$126,1)-COUNTBLANK(P$7:P$126),""),"")</f>
        <v/>
      </c>
      <c r="D97" s="142">
        <f>IF((P97="t"),U97,U97-1000)</f>
        <v>-880</v>
      </c>
      <c r="E97" s="143" t="str">
        <f>IF(R97&gt;0,IF(N97="m",RANK(F97,F$7:F$126,1)-COUNTBLANK(N$7:N$126),""),"")</f>
        <v/>
      </c>
      <c r="F97" s="144">
        <f>IF((N97="m"),U97,U97-1000)</f>
        <v>-880</v>
      </c>
      <c r="G97" s="145" t="str">
        <f>IF(R97&gt;0,IF(M97="n",RANK(H97,H$7:H$126,1)-COUNTBLANK(M$7:M$126),""),"")</f>
        <v/>
      </c>
      <c r="H97" s="144">
        <f>IF((M97="n"),U97,U97-1000)</f>
        <v>120</v>
      </c>
      <c r="I97" s="160" t="str">
        <f>IF(R97&gt;0,IF(O97="j",RANK(J97,J$7:J$126,1)-COUNTBLANK(O$7:O$126),""),"")</f>
        <v/>
      </c>
      <c r="J97" s="161">
        <f>IF((O97="j"),U97,U97-1000)</f>
        <v>-880</v>
      </c>
      <c r="K97" s="162" t="str">
        <f>IF(R97&gt;0,RANK(U97,U$7:U$126,1),"")</f>
        <v/>
      </c>
      <c r="L97" s="168" t="s">
        <v>288</v>
      </c>
      <c r="M97" s="164" t="s">
        <v>203</v>
      </c>
      <c r="N97" s="165" t="str">
        <f>IF(M97="","m","")</f>
        <v/>
      </c>
      <c r="O97" s="166"/>
      <c r="P97" s="167"/>
      <c r="Q97" s="192"/>
      <c r="R97" s="154">
        <f>(IF(COUNT(Z97,AA97,AB97,AC97,AD97,AE97,AF97,AG97,AH97,AI97)&lt;10,SUM(Z97,AA97,AB97,AC97,AD97,AE97,AF97,AG97,AH97,AI97),SUM(LARGE((Z97,AA97,AB97,AC97,AD97,AE97,AF97,AG97,AH97,AI97),{1;2;3;4;5;6;7;8;9}))))</f>
        <v>0</v>
      </c>
      <c r="S97" s="193" t="str">
        <f>INDEX(ETAPP!B$1:B$32,MATCH(COUNTIF(BI97:BR97,1),ETAPP!A$1:A$32,0))&amp;INDEX(ETAPP!B$1:B$32,MATCH(COUNTIF(BI97:BR97,2),ETAPP!A$1:A$32,0))&amp;INDEX(ETAPP!B$1:B$32,MATCH(COUNTIF(BI97:BR97,3),ETAPP!A$1:A$32,0))&amp;INDEX(ETAPP!B$1:B$32,MATCH(COUNTIF(BI97:BR97,4),ETAPP!A$1:A$32,0))&amp;INDEX(ETAPP!B$1:B$32,MATCH(COUNTIF(BI97:BR97,5),ETAPP!A$1:A$32,0))&amp;INDEX(ETAPP!B$1:B$32,MATCH(COUNTIF(BI97:BR97,6),ETAPP!A$1:A$32,0))&amp;INDEX(ETAPP!B$1:B$32,MATCH(COUNTIF(BI97:BR97,7),ETAPP!A$1:A$32,0))&amp;INDEX(ETAPP!B$1:B$32,MATCH(COUNTIF(BI97:BR97,8),ETAPP!A$1:A$32,0))&amp;INDEX(ETAPP!B$1:B$32,MATCH(COUNTIF(BI97:BR97,9),ETAPP!A$1:A$32,0))&amp;INDEX(ETAPP!B$1:B$32,MATCH(COUNTIF(BI97:BR97,10),ETAPP!A$1:A$32,0))&amp;INDEX(ETAPP!B$1:B$32,MATCH(COUNTIF(BI97:BR97,11),ETAPP!A$1:A$32,0))&amp;INDEX(ETAPP!B$1:B$32,MATCH(COUNTIF(BI97:BR97,12),ETAPP!A$1:A$32,0))&amp;INDEX(ETAPP!B$1:B$32,MATCH(COUNTIF(BI97:BR97,13),ETAPP!A$1:A$32,0))&amp;INDEX(ETAPP!B$1:B$32,MATCH(COUNTIF(BI97:BR97,14),ETAPP!A$1:A$32,0))&amp;INDEX(ETAPP!B$1:B$32,MATCH(COUNTIF(BI97:BR97,15),ETAPP!A$1:A$32,0))&amp;INDEX(ETAPP!B$1:B$32,MATCH(COUNTIF(BI97:BR97,16),ETAPP!A$1:A$32,0))&amp;INDEX(ETAPP!B$1:B$32,MATCH(COUNTIF(BI97:BR97,17),ETAPP!A$1:A$32,0))&amp;INDEX(ETAPP!B$1:B$32,MATCH(COUNTIF(BI97:BR97,18),ETAPP!A$1:A$32,0))&amp;INDEX(ETAPP!B$1:B$32,MATCH(COUNTIF(BI97:BR97,19),ETAPP!A$1:A$32,0))&amp;INDEX(ETAPP!B$1:B$32,MATCH(COUNTIF(BI97:BR97,20),ETAPP!A$1:A$32,0))&amp;INDEX(ETAPP!B$1:B$32,MATCH(COUNTIF(BI97:BR97,21),ETAPP!A$1:A$32,0))</f>
        <v>000000000000000000000</v>
      </c>
      <c r="T97" s="193" t="str">
        <f>TEXT(R97,"000,0")&amp;"-"&amp;S97</f>
        <v>000,0-000000000000000000000</v>
      </c>
      <c r="U97" s="193">
        <f>COUNTIF(T$7:T$126,"&gt;="&amp;T97)</f>
        <v>120</v>
      </c>
      <c r="V97" s="193">
        <f>COUNTIF(L$7:L$126,"&gt;="&amp;L97)</f>
        <v>55</v>
      </c>
      <c r="W97" s="193" t="str">
        <f>TEXT(R97,"000,0")&amp;"-"&amp;S97&amp;"-"&amp;TEXT(V97,"000")</f>
        <v>000,0-000000000000000000000-055</v>
      </c>
      <c r="X97" s="193">
        <f>COUNTIF(W$7:W$126,"&gt;="&amp;W97)</f>
        <v>91</v>
      </c>
      <c r="Y97" s="201">
        <f>RANK(X97,X$7:X$126,0)</f>
        <v>30</v>
      </c>
      <c r="Z97" s="202" t="str">
        <f>IFERROR(INDEX('V1'!C$300:C$400,MATCH("*"&amp;L97&amp;"*",'V1'!B$300:B$400,0)),"  ")</f>
        <v>  </v>
      </c>
      <c r="AA97" s="202" t="str">
        <f>IFERROR(INDEX('V2'!C$300:C$400,MATCH("*"&amp;L97&amp;"*",'V2'!B$300:B$400,0)),"  ")</f>
        <v>  </v>
      </c>
      <c r="AB97" s="202" t="str">
        <f>IFERROR(INDEX('V3'!C$300:C$400,MATCH("*"&amp;L97&amp;"*",'V3'!B$300:B$400,0)),"  ")</f>
        <v>  </v>
      </c>
      <c r="AC97" s="202" t="str">
        <f>IFERROR(INDEX('V4'!C$300:C$400,MATCH("*"&amp;L97&amp;"*",'V4'!B$300:B$400,0)),"  ")</f>
        <v>  </v>
      </c>
      <c r="AD97" s="202" t="str">
        <f>IFERROR(INDEX('V5'!C$300:C$400,MATCH("*"&amp;L97&amp;"*",'V5'!B$300:B$400,0)),"  ")</f>
        <v>  </v>
      </c>
      <c r="AE97" s="202" t="str">
        <f>IFERROR(INDEX('V6'!C$300:C$400,MATCH("*"&amp;L97&amp;"*",'V6'!B$300:B$400,0)),"  ")</f>
        <v>  </v>
      </c>
      <c r="AF97" s="202" t="str">
        <f>IFERROR(INDEX('V7'!C$300:C$400,MATCH("*"&amp;L97&amp;"*",'V7'!B$300:B$400,0)),"  ")</f>
        <v>  </v>
      </c>
      <c r="AG97" s="202" t="str">
        <f>IFERROR(INDEX('V8'!C$300:C$400,MATCH("*"&amp;L97&amp;"*",'V8'!B$300:B$400,0)),"  ")</f>
        <v>  </v>
      </c>
      <c r="AH97" s="202"/>
      <c r="AI97" s="202"/>
      <c r="AJ97" s="222" t="str">
        <f>IF(AN97&gt;(AT$2-1),K97,"")</f>
        <v/>
      </c>
      <c r="AK97" s="223">
        <f>SUM(Z97:AI97)</f>
        <v>0</v>
      </c>
      <c r="AL97" s="224" t="str">
        <f>IFERROR("edasi "&amp;RANK(AJ97,AJ$7:AJ$126,1),K97)</f>
        <v/>
      </c>
      <c r="AM97" s="225" t="str">
        <f>IFERROR(INDEX(#REF!,MATCH("*"&amp;L97&amp;"*",#REF!,0)),"  ")</f>
        <v>  </v>
      </c>
      <c r="AN97" s="226">
        <f>COUNTIF(Z97:AI97,"&gt;=0")</f>
        <v>0</v>
      </c>
      <c r="AO97" s="126">
        <f>IFERROR(IF(Z97+1&gt;LARGE(Z$7:Z$126,1)-2*LEN(Z$5),1),0)+IFERROR(IF(AA97+1&gt;LARGE(AA$7:AA$126,1)-2*LEN(AA$5),1),0)+IFERROR(IF(AB97+1&gt;LARGE(AB$7:AB$126,1)-2*LEN(AB$5),1),0)+IFERROR(IF(AC97+1&gt;LARGE(AC$7:AC$126,1)-2*LEN(AC$5),1),0)+IFERROR(IF(AD97+1&gt;LARGE(AD$7:AD$126,1)-2*LEN(AD$5),1),0)+IFERROR(IF(AE97+1&gt;LARGE(AE$7:AE$126,1)-2*LEN(AE$5),1),0)+IFERROR(IF(AF97+1&gt;LARGE(AF$7:AF$126,1)-2*LEN(AF$5),1),0)+IFERROR(IF(AG97+1&gt;LARGE(AG$7:AG$126,1)-2*LEN(AG$5),1),0)+IFERROR(IF(AH97+1&gt;LARGE(AH$7:AH$126,1)-2*LEN(AH$5),1),0)+IFERROR(IF(AI97+1&gt;LARGE(AI$7:AI$126,1)-2*LEN(AI$5),1),0)</f>
        <v>0</v>
      </c>
      <c r="AP97" s="126">
        <f>IF(Z97=0,0,IF(Z97=IFERROR(LARGE(Z$7:Z$126,1),0),1,0))+IF(AA97=0,0,IF(AA97=IFERROR(LARGE(AA$7:AA$126,1),0),1,0))+IF(AB97=0,0,IF(AB97=IFERROR(LARGE(AB$7:AB$126,1),0),1,0))+IF(AC97=0,0,IF(AC97=IFERROR(LARGE(AC$7:AC$126,1),0),1,0))+IF(AD97=0,0,IF(AD97=IFERROR(LARGE(AD$7:AD$126,1),0),1,0))+IF(AE97=0,0,IF(AE97=IFERROR(LARGE(AE$7:AE$126,1),0),1,0))+IF(AF97=0,0,IF(AF97=IFERROR(LARGE(AF$7:AF$126,1),0),1,0))+IF(AG97=0,0,IF(AG97=IFERROR(LARGE(AG$7:AG$126,1),0),1,0))+IF(AH97=0,0,IF(AH97=IFERROR(LARGE(AH$7:AH$126,1),0),1,0))+IF(AI97=0,0,IF(AI97=IFERROR(LARGE(AI$7:AI$126,1),0),1,0))</f>
        <v>0</v>
      </c>
      <c r="AQ97" s="233"/>
      <c r="AR97" s="233"/>
      <c r="AS97" s="233"/>
      <c r="AT97" s="234">
        <f>SMALL(AU97:BD97,AT$3)</f>
        <v>0.0001</v>
      </c>
      <c r="AU97" s="235">
        <f>IF(Z97="  ",0+MID(Z$6,FIND("V",Z$6)+1,256)/10000,Z97+MID(Z$6,FIND("V",Z$6)+1,256)/10000)</f>
        <v>0.0001</v>
      </c>
      <c r="AV97" s="235">
        <f>IF(AA97="  ",0+MID(AA$6,FIND("V",AA$6)+1,256)/10000,AA97+MID(AA$6,FIND("V",AA$6)+1,256)/10000)</f>
        <v>0.0002</v>
      </c>
      <c r="AW97" s="235">
        <f>IF(AB97="  ",0+MID(AB$6,FIND("V",AB$6)+1,256)/10000,AB97+MID(AB$6,FIND("V",AB$6)+1,256)/10000)</f>
        <v>0.0003</v>
      </c>
      <c r="AX97" s="235">
        <f>IF(AC97="  ",0+MID(AC$6,FIND("V",AC$6)+1,256)/10000,AC97+MID(AC$6,FIND("V",AC$6)+1,256)/10000)</f>
        <v>0.0004</v>
      </c>
      <c r="AY97" s="235">
        <f>IF(AD97="  ",0+MID(AD$6,FIND("V",AD$6)+1,256)/10000,AD97+MID(AD$6,FIND("V",AD$6)+1,256)/10000)</f>
        <v>0.0005</v>
      </c>
      <c r="AZ97" s="235">
        <f>IF(AE97="  ",0+MID(AE$6,FIND("V",AE$6)+1,256)/10000,AE97+MID(AE$6,FIND("V",AE$6)+1,256)/10000)</f>
        <v>0.0006</v>
      </c>
      <c r="BA97" s="235">
        <f>IF(AF97="  ",0+MID(AF$6,FIND("V",AF$6)+1,256)/10000,AF97+MID(AF$6,FIND("V",AF$6)+1,256)/10000)</f>
        <v>0.0007</v>
      </c>
      <c r="BB97" s="235">
        <f>IF(AG97="  ",0+MID(AG$6,FIND("V",AG$6)+1,256)/10000,AG97+MID(AG$6,FIND("V",AG$6)+1,256)/10000)</f>
        <v>0.0008</v>
      </c>
      <c r="BC97" s="235">
        <f>IF(AH97="  ",0+MID(AH$6,FIND("V",AH$6)+1,256)/10000,AH97+MID(AH$6,FIND("V",AH$6)+1,256)/10000)</f>
        <v>0.0009</v>
      </c>
      <c r="BD97" s="235">
        <f>IF(AI97="  ",0+MID(AI$6,FIND("V",AI$6)+1,256)/10000,AI97+MID(AI$6,FIND("V",AI$6)+1,256)/10000)</f>
        <v>0.001</v>
      </c>
      <c r="BE97" s="233"/>
      <c r="BF97" s="233"/>
      <c r="BG97" s="233"/>
      <c r="BH97" s="233"/>
      <c r="BI97" s="3" t="e">
        <f>(LARGE(Z$7:Z$126,1)-Z97)/2+1</f>
        <v>#VALUE!</v>
      </c>
      <c r="BJ97" s="3" t="e">
        <f>(LARGE(AA$7:AA$126,1)-AA97)/2+1</f>
        <v>#VALUE!</v>
      </c>
      <c r="BK97" s="3" t="e">
        <f>(LARGE(AB$7:AB$126,1)-AB97)/2+1</f>
        <v>#VALUE!</v>
      </c>
      <c r="BL97" s="3" t="e">
        <f>(LARGE(AC$7:AC$126,1)-AC97)/2+1</f>
        <v>#VALUE!</v>
      </c>
      <c r="BM97" s="3" t="e">
        <f>(LARGE(AD$7:AD$126,1)-AD97)/2+1</f>
        <v>#VALUE!</v>
      </c>
      <c r="BN97" s="3" t="e">
        <f>(LARGE(AE$7:AE$126,1)-AE97)/2+1</f>
        <v>#VALUE!</v>
      </c>
      <c r="BO97" s="3" t="e">
        <f>(LARGE(AF$7:AF$126,1)-AF97)/2+1</f>
        <v>#VALUE!</v>
      </c>
      <c r="BP97" s="3" t="e">
        <f>(LARGE(AG$7:AG$126,1)-AG97)/2+1</f>
        <v>#VALUE!</v>
      </c>
      <c r="BQ97" s="3" t="e">
        <f>(LARGE(AH$7:AH$126,1)-AH97)/2+1</f>
        <v>#NUM!</v>
      </c>
      <c r="BR97" s="3" t="e">
        <f>(LARGE(AI$7:AI$126,1)-AI97)/2+1</f>
        <v>#NUM!</v>
      </c>
    </row>
    <row r="98" ht="12.75" hidden="1" customHeight="1" spans="1:70">
      <c r="A98" s="139" t="str">
        <f>IF(R98&gt;0,IF(Q98="Viru SK",RANK(B98,B$7:B$126,1)-COUNTIF((Q$7:Q$126),"&lt;&gt;Viru SK"),""),"")</f>
        <v/>
      </c>
      <c r="B98" s="140">
        <f>IF((Q98="Viru SK"),U98,U98-1000)</f>
        <v>-880</v>
      </c>
      <c r="C98" s="141" t="str">
        <f>IF(R98&gt;0,IF(P98="t",RANK(D98,D$7:D$126,1)-COUNTBLANK(P$7:P$126),""),"")</f>
        <v/>
      </c>
      <c r="D98" s="142">
        <f>IF((P98="t"),U98,U98-1000)</f>
        <v>-880</v>
      </c>
      <c r="E98" s="143" t="str">
        <f>IF(R98&gt;0,IF(N98="m",RANK(F98,F$7:F$126,1)-COUNTBLANK(N$7:N$126),""),"")</f>
        <v/>
      </c>
      <c r="F98" s="144">
        <f>IF((N98="m"),U98,U98-1000)</f>
        <v>-880</v>
      </c>
      <c r="G98" s="145" t="str">
        <f>IF(R98&gt;0,IF(M98="n",RANK(H98,H$7:H$126,1)-COUNTBLANK(M$7:M$126),""),"")</f>
        <v/>
      </c>
      <c r="H98" s="144">
        <f>IF((M98="n"),U98,U98-1000)</f>
        <v>120</v>
      </c>
      <c r="I98" s="160" t="str">
        <f>IF(R98&gt;0,IF(O98="j",RANK(J98,J$7:J$126,1)-COUNTBLANK(O$7:O$126),""),"")</f>
        <v/>
      </c>
      <c r="J98" s="161">
        <f>IF((O98="j"),U98,U98-1000)</f>
        <v>-880</v>
      </c>
      <c r="K98" s="162" t="str">
        <f>IF(R98&gt;0,RANK(U98,U$7:U$126,1),"")</f>
        <v/>
      </c>
      <c r="L98" s="163" t="s">
        <v>289</v>
      </c>
      <c r="M98" s="164" t="s">
        <v>203</v>
      </c>
      <c r="N98" s="165"/>
      <c r="O98" s="166"/>
      <c r="P98" s="167"/>
      <c r="Q98" s="192" t="s">
        <v>274</v>
      </c>
      <c r="R98" s="154">
        <f>(IF(COUNT(Z98,AA98,AB98,AC98,AD98,AE98,AF98,AG98,AH98,AI98)&lt;10,SUM(Z98,AA98,AB98,AC98,AD98,AE98,AF98,AG98,AH98,AI98),SUM(LARGE((Z98,AA98,AB98,AC98,AD98,AE98,AF98,AG98,AH98,AI98),{1;2;3;4;5;6;7;8;9}))))</f>
        <v>0</v>
      </c>
      <c r="S98" s="193" t="str">
        <f>INDEX(ETAPP!B$1:B$32,MATCH(COUNTIF(BI98:BR98,1),ETAPP!A$1:A$32,0))&amp;INDEX(ETAPP!B$1:B$32,MATCH(COUNTIF(BI98:BR98,2),ETAPP!A$1:A$32,0))&amp;INDEX(ETAPP!B$1:B$32,MATCH(COUNTIF(BI98:BR98,3),ETAPP!A$1:A$32,0))&amp;INDEX(ETAPP!B$1:B$32,MATCH(COUNTIF(BI98:BR98,4),ETAPP!A$1:A$32,0))&amp;INDEX(ETAPP!B$1:B$32,MATCH(COUNTIF(BI98:BR98,5),ETAPP!A$1:A$32,0))&amp;INDEX(ETAPP!B$1:B$32,MATCH(COUNTIF(BI98:BR98,6),ETAPP!A$1:A$32,0))&amp;INDEX(ETAPP!B$1:B$32,MATCH(COUNTIF(BI98:BR98,7),ETAPP!A$1:A$32,0))&amp;INDEX(ETAPP!B$1:B$32,MATCH(COUNTIF(BI98:BR98,8),ETAPP!A$1:A$32,0))&amp;INDEX(ETAPP!B$1:B$32,MATCH(COUNTIF(BI98:BR98,9),ETAPP!A$1:A$32,0))&amp;INDEX(ETAPP!B$1:B$32,MATCH(COUNTIF(BI98:BR98,10),ETAPP!A$1:A$32,0))&amp;INDEX(ETAPP!B$1:B$32,MATCH(COUNTIF(BI98:BR98,11),ETAPP!A$1:A$32,0))&amp;INDEX(ETAPP!B$1:B$32,MATCH(COUNTIF(BI98:BR98,12),ETAPP!A$1:A$32,0))&amp;INDEX(ETAPP!B$1:B$32,MATCH(COUNTIF(BI98:BR98,13),ETAPP!A$1:A$32,0))&amp;INDEX(ETAPP!B$1:B$32,MATCH(COUNTIF(BI98:BR98,14),ETAPP!A$1:A$32,0))&amp;INDEX(ETAPP!B$1:B$32,MATCH(COUNTIF(BI98:BR98,15),ETAPP!A$1:A$32,0))&amp;INDEX(ETAPP!B$1:B$32,MATCH(COUNTIF(BI98:BR98,16),ETAPP!A$1:A$32,0))&amp;INDEX(ETAPP!B$1:B$32,MATCH(COUNTIF(BI98:BR98,17),ETAPP!A$1:A$32,0))&amp;INDEX(ETAPP!B$1:B$32,MATCH(COUNTIF(BI98:BR98,18),ETAPP!A$1:A$32,0))&amp;INDEX(ETAPP!B$1:B$32,MATCH(COUNTIF(BI98:BR98,19),ETAPP!A$1:A$32,0))&amp;INDEX(ETAPP!B$1:B$32,MATCH(COUNTIF(BI98:BR98,20),ETAPP!A$1:A$32,0))&amp;INDEX(ETAPP!B$1:B$32,MATCH(COUNTIF(BI98:BR98,21),ETAPP!A$1:A$32,0))</f>
        <v>000000000000000000000</v>
      </c>
      <c r="T98" s="193" t="str">
        <f>TEXT(R98,"000,0")&amp;"-"&amp;S98</f>
        <v>000,0-000000000000000000000</v>
      </c>
      <c r="U98" s="193">
        <f>COUNTIF(T$7:T$126,"&gt;="&amp;T98)</f>
        <v>120</v>
      </c>
      <c r="V98" s="193">
        <f>COUNTIF(L$7:L$126,"&gt;="&amp;L98)</f>
        <v>54</v>
      </c>
      <c r="W98" s="193" t="str">
        <f>TEXT(R98,"000,0")&amp;"-"&amp;S98&amp;"-"&amp;TEXT(V98,"000")</f>
        <v>000,0-000000000000000000000-054</v>
      </c>
      <c r="X98" s="193">
        <f>COUNTIF(W$7:W$126,"&gt;="&amp;W98)</f>
        <v>92</v>
      </c>
      <c r="Y98" s="201">
        <f>RANK(X98,X$7:X$126,0)</f>
        <v>29</v>
      </c>
      <c r="Z98" s="202" t="str">
        <f>IFERROR(INDEX('V1'!C$300:C$400,MATCH("*"&amp;L98&amp;"*",'V1'!B$300:B$400,0)),"  ")</f>
        <v>  </v>
      </c>
      <c r="AA98" s="202" t="str">
        <f>IFERROR(INDEX('V2'!C$300:C$400,MATCH("*"&amp;L98&amp;"*",'V2'!B$300:B$400,0)),"  ")</f>
        <v>  </v>
      </c>
      <c r="AB98" s="202" t="str">
        <f>IFERROR(INDEX('V3'!C$300:C$400,MATCH("*"&amp;L98&amp;"*",'V3'!B$300:B$400,0)),"  ")</f>
        <v>  </v>
      </c>
      <c r="AC98" s="202" t="str">
        <f>IFERROR(INDEX('V4'!C$300:C$400,MATCH("*"&amp;L98&amp;"*",'V4'!B$300:B$400,0)),"  ")</f>
        <v>  </v>
      </c>
      <c r="AD98" s="202" t="str">
        <f>IFERROR(INDEX('V5'!C$300:C$400,MATCH("*"&amp;L98&amp;"*",'V5'!B$300:B$400,0)),"  ")</f>
        <v>  </v>
      </c>
      <c r="AE98" s="202" t="str">
        <f>IFERROR(INDEX('V6'!C$300:C$400,MATCH("*"&amp;L98&amp;"*",'V6'!B$300:B$400,0)),"  ")</f>
        <v>  </v>
      </c>
      <c r="AF98" s="202" t="str">
        <f>IFERROR(INDEX('V7'!C$300:C$400,MATCH("*"&amp;L98&amp;"*",'V7'!B$300:B$400,0)),"  ")</f>
        <v>  </v>
      </c>
      <c r="AG98" s="202" t="str">
        <f>IFERROR(INDEX('V8'!C$300:C$400,MATCH("*"&amp;L98&amp;"*",'V8'!B$300:B$400,0)),"  ")</f>
        <v>  </v>
      </c>
      <c r="AH98" s="202"/>
      <c r="AI98" s="202"/>
      <c r="AJ98" s="222" t="str">
        <f>IF(AN98&gt;(AT$2-1),K98,"")</f>
        <v/>
      </c>
      <c r="AK98" s="223">
        <f>SUM(Z98:AI98)</f>
        <v>0</v>
      </c>
      <c r="AL98" s="224" t="str">
        <f>IFERROR("edasi "&amp;RANK(AJ98,AJ$7:AJ$126,1),K98)</f>
        <v/>
      </c>
      <c r="AM98" s="225" t="str">
        <f>IFERROR(INDEX(#REF!,MATCH("*"&amp;L98&amp;"*",#REF!,0)),"  ")</f>
        <v>  </v>
      </c>
      <c r="AN98" s="226">
        <f>COUNTIF(Z98:AI98,"&gt;=0")</f>
        <v>0</v>
      </c>
      <c r="AO98" s="126">
        <f>IFERROR(IF(Z98+1&gt;LARGE(Z$7:Z$126,1)-2*LEN(Z$5),1),0)+IFERROR(IF(AA98+1&gt;LARGE(AA$7:AA$126,1)-2*LEN(AA$5),1),0)+IFERROR(IF(AB98+1&gt;LARGE(AB$7:AB$126,1)-2*LEN(AB$5),1),0)+IFERROR(IF(AC98+1&gt;LARGE(AC$7:AC$126,1)-2*LEN(AC$5),1),0)+IFERROR(IF(AD98+1&gt;LARGE(AD$7:AD$126,1)-2*LEN(AD$5),1),0)+IFERROR(IF(AE98+1&gt;LARGE(AE$7:AE$126,1)-2*LEN(AE$5),1),0)+IFERROR(IF(AF98+1&gt;LARGE(AF$7:AF$126,1)-2*LEN(AF$5),1),0)+IFERROR(IF(AG98+1&gt;LARGE(AG$7:AG$126,1)-2*LEN(AG$5),1),0)+IFERROR(IF(AH98+1&gt;LARGE(AH$7:AH$126,1)-2*LEN(AH$5),1),0)+IFERROR(IF(AI98+1&gt;LARGE(AI$7:AI$126,1)-2*LEN(AI$5),1),0)</f>
        <v>0</v>
      </c>
      <c r="AP98" s="126">
        <f>IF(Z98=0,0,IF(Z98=IFERROR(LARGE(Z$7:Z$126,1),0),1,0))+IF(AA98=0,0,IF(AA98=IFERROR(LARGE(AA$7:AA$126,1),0),1,0))+IF(AB98=0,0,IF(AB98=IFERROR(LARGE(AB$7:AB$126,1),0),1,0))+IF(AC98=0,0,IF(AC98=IFERROR(LARGE(AC$7:AC$126,1),0),1,0))+IF(AD98=0,0,IF(AD98=IFERROR(LARGE(AD$7:AD$126,1),0),1,0))+IF(AE98=0,0,IF(AE98=IFERROR(LARGE(AE$7:AE$126,1),0),1,0))+IF(AF98=0,0,IF(AF98=IFERROR(LARGE(AF$7:AF$126,1),0),1,0))+IF(AG98=0,0,IF(AG98=IFERROR(LARGE(AG$7:AG$126,1),0),1,0))+IF(AH98=0,0,IF(AH98=IFERROR(LARGE(AH$7:AH$126,1),0),1,0))+IF(AI98=0,0,IF(AI98=IFERROR(LARGE(AI$7:AI$126,1),0),1,0))</f>
        <v>0</v>
      </c>
      <c r="AQ98" s="233"/>
      <c r="AR98" s="233"/>
      <c r="AS98" s="233"/>
      <c r="AT98" s="234">
        <f>SMALL(AU98:BD98,AT$3)</f>
        <v>0.0001</v>
      </c>
      <c r="AU98" s="235">
        <f>IF(Z98="  ",0+MID(Z$6,FIND("V",Z$6)+1,256)/10000,Z98+MID(Z$6,FIND("V",Z$6)+1,256)/10000)</f>
        <v>0.0001</v>
      </c>
      <c r="AV98" s="235">
        <f>IF(AA98="  ",0+MID(AA$6,FIND("V",AA$6)+1,256)/10000,AA98+MID(AA$6,FIND("V",AA$6)+1,256)/10000)</f>
        <v>0.0002</v>
      </c>
      <c r="AW98" s="235">
        <f>IF(AB98="  ",0+MID(AB$6,FIND("V",AB$6)+1,256)/10000,AB98+MID(AB$6,FIND("V",AB$6)+1,256)/10000)</f>
        <v>0.0003</v>
      </c>
      <c r="AX98" s="235">
        <f>IF(AC98="  ",0+MID(AC$6,FIND("V",AC$6)+1,256)/10000,AC98+MID(AC$6,FIND("V",AC$6)+1,256)/10000)</f>
        <v>0.0004</v>
      </c>
      <c r="AY98" s="235">
        <f>IF(AD98="  ",0+MID(AD$6,FIND("V",AD$6)+1,256)/10000,AD98+MID(AD$6,FIND("V",AD$6)+1,256)/10000)</f>
        <v>0.0005</v>
      </c>
      <c r="AZ98" s="235">
        <f>IF(AE98="  ",0+MID(AE$6,FIND("V",AE$6)+1,256)/10000,AE98+MID(AE$6,FIND("V",AE$6)+1,256)/10000)</f>
        <v>0.0006</v>
      </c>
      <c r="BA98" s="235">
        <f>IF(AF98="  ",0+MID(AF$6,FIND("V",AF$6)+1,256)/10000,AF98+MID(AF$6,FIND("V",AF$6)+1,256)/10000)</f>
        <v>0.0007</v>
      </c>
      <c r="BB98" s="235">
        <f>IF(AG98="  ",0+MID(AG$6,FIND("V",AG$6)+1,256)/10000,AG98+MID(AG$6,FIND("V",AG$6)+1,256)/10000)</f>
        <v>0.0008</v>
      </c>
      <c r="BC98" s="235">
        <f>IF(AH98="  ",0+MID(AH$6,FIND("V",AH$6)+1,256)/10000,AH98+MID(AH$6,FIND("V",AH$6)+1,256)/10000)</f>
        <v>0.0009</v>
      </c>
      <c r="BD98" s="235">
        <f>IF(AI98="  ",0+MID(AI$6,FIND("V",AI$6)+1,256)/10000,AI98+MID(AI$6,FIND("V",AI$6)+1,256)/10000)</f>
        <v>0.001</v>
      </c>
      <c r="BE98" s="233"/>
      <c r="BF98" s="233"/>
      <c r="BG98" s="233"/>
      <c r="BH98" s="233"/>
      <c r="BI98" s="3" t="e">
        <f>(LARGE(Z$7:Z$126,1)-Z98)/2+1</f>
        <v>#VALUE!</v>
      </c>
      <c r="BJ98" s="3" t="e">
        <f>(LARGE(AA$7:AA$126,1)-AA98)/2+1</f>
        <v>#VALUE!</v>
      </c>
      <c r="BK98" s="3" t="e">
        <f>(LARGE(AB$7:AB$126,1)-AB98)/2+1</f>
        <v>#VALUE!</v>
      </c>
      <c r="BL98" s="3" t="e">
        <f>(LARGE(AC$7:AC$126,1)-AC98)/2+1</f>
        <v>#VALUE!</v>
      </c>
      <c r="BM98" s="3" t="e">
        <f>(LARGE(AD$7:AD$126,1)-AD98)/2+1</f>
        <v>#VALUE!</v>
      </c>
      <c r="BN98" s="3" t="e">
        <f>(LARGE(AE$7:AE$126,1)-AE98)/2+1</f>
        <v>#VALUE!</v>
      </c>
      <c r="BO98" s="3" t="e">
        <f>(LARGE(AF$7:AF$126,1)-AF98)/2+1</f>
        <v>#VALUE!</v>
      </c>
      <c r="BP98" s="3" t="e">
        <f>(LARGE(AG$7:AG$126,1)-AG98)/2+1</f>
        <v>#VALUE!</v>
      </c>
      <c r="BQ98" s="3" t="e">
        <f>(LARGE(AH$7:AH$126,1)-AH98)/2+1</f>
        <v>#NUM!</v>
      </c>
      <c r="BR98" s="3" t="e">
        <f>(LARGE(AI$7:AI$126,1)-AI98)/2+1</f>
        <v>#NUM!</v>
      </c>
    </row>
    <row r="99" ht="12.75" hidden="1" customHeight="1" spans="1:70">
      <c r="A99" s="139" t="str">
        <f>IF(R99&gt;0,IF(Q99="Viru SK",RANK(B99,B$7:B$126,1)-COUNTIF((Q$7:Q$126),"&lt;&gt;Viru SK"),""),"")</f>
        <v/>
      </c>
      <c r="B99" s="140">
        <f>IF((Q99="Viru SK"),U99,U99-1000)</f>
        <v>-880</v>
      </c>
      <c r="C99" s="141" t="str">
        <f>IF(R99&gt;0,IF(P99="t",RANK(D99,D$7:D$126,1)-COUNTBLANK(P$7:P$126),""),"")</f>
        <v/>
      </c>
      <c r="D99" s="142">
        <f>IF((P99="t"),U99,U99-1000)</f>
        <v>-880</v>
      </c>
      <c r="E99" s="143" t="str">
        <f>IF(R99&gt;0,IF(N99="m",RANK(F99,F$7:F$126,1)-COUNTBLANK(N$7:N$126),""),"")</f>
        <v/>
      </c>
      <c r="F99" s="144">
        <f>IF((N99="m"),U99,U99-1000)</f>
        <v>120</v>
      </c>
      <c r="G99" s="145" t="str">
        <f>IF(R99&gt;0,IF(M99="n",RANK(H99,H$7:H$126,1)-COUNTBLANK(M$7:M$126),""),"")</f>
        <v/>
      </c>
      <c r="H99" s="144">
        <f>IF((M99="n"),U99,U99-1000)</f>
        <v>-880</v>
      </c>
      <c r="I99" s="160" t="str">
        <f>IF(R99&gt;0,IF(O99="j",RANK(J99,J$7:J$126,1)-COUNTBLANK(O$7:O$126),""),"")</f>
        <v/>
      </c>
      <c r="J99" s="161">
        <f>IF((O99="j"),U99,U99-1000)</f>
        <v>-880</v>
      </c>
      <c r="K99" s="162" t="str">
        <f>IF(R99&gt;0,RANK(U99,U$7:U$126,1),"")</f>
        <v/>
      </c>
      <c r="L99" s="163" t="s">
        <v>290</v>
      </c>
      <c r="M99" s="164"/>
      <c r="N99" s="165" t="s">
        <v>193</v>
      </c>
      <c r="O99" s="166"/>
      <c r="P99" s="167"/>
      <c r="Q99" s="192" t="s">
        <v>274</v>
      </c>
      <c r="R99" s="154">
        <f>(IF(COUNT(Z99,AA99,AB99,AC99,AD99,AE99,AF99,AG99,AH99,AI99)&lt;10,SUM(Z99,AA99,AB99,AC99,AD99,AE99,AF99,AG99,AH99,AI99),SUM(LARGE((Z99,AA99,AB99,AC99,AD99,AE99,AF99,AG99,AH99,AI99),{1;2;3;4;5;6;7;8;9}))))</f>
        <v>0</v>
      </c>
      <c r="S99" s="193" t="str">
        <f>INDEX(ETAPP!B$1:B$32,MATCH(COUNTIF(BI99:BR99,1),ETAPP!A$1:A$32,0))&amp;INDEX(ETAPP!B$1:B$32,MATCH(COUNTIF(BI99:BR99,2),ETAPP!A$1:A$32,0))&amp;INDEX(ETAPP!B$1:B$32,MATCH(COUNTIF(BI99:BR99,3),ETAPP!A$1:A$32,0))&amp;INDEX(ETAPP!B$1:B$32,MATCH(COUNTIF(BI99:BR99,4),ETAPP!A$1:A$32,0))&amp;INDEX(ETAPP!B$1:B$32,MATCH(COUNTIF(BI99:BR99,5),ETAPP!A$1:A$32,0))&amp;INDEX(ETAPP!B$1:B$32,MATCH(COUNTIF(BI99:BR99,6),ETAPP!A$1:A$32,0))&amp;INDEX(ETAPP!B$1:B$32,MATCH(COUNTIF(BI99:BR99,7),ETAPP!A$1:A$32,0))&amp;INDEX(ETAPP!B$1:B$32,MATCH(COUNTIF(BI99:BR99,8),ETAPP!A$1:A$32,0))&amp;INDEX(ETAPP!B$1:B$32,MATCH(COUNTIF(BI99:BR99,9),ETAPP!A$1:A$32,0))&amp;INDEX(ETAPP!B$1:B$32,MATCH(COUNTIF(BI99:BR99,10),ETAPP!A$1:A$32,0))&amp;INDEX(ETAPP!B$1:B$32,MATCH(COUNTIF(BI99:BR99,11),ETAPP!A$1:A$32,0))&amp;INDEX(ETAPP!B$1:B$32,MATCH(COUNTIF(BI99:BR99,12),ETAPP!A$1:A$32,0))&amp;INDEX(ETAPP!B$1:B$32,MATCH(COUNTIF(BI99:BR99,13),ETAPP!A$1:A$32,0))&amp;INDEX(ETAPP!B$1:B$32,MATCH(COUNTIF(BI99:BR99,14),ETAPP!A$1:A$32,0))&amp;INDEX(ETAPP!B$1:B$32,MATCH(COUNTIF(BI99:BR99,15),ETAPP!A$1:A$32,0))&amp;INDEX(ETAPP!B$1:B$32,MATCH(COUNTIF(BI99:BR99,16),ETAPP!A$1:A$32,0))&amp;INDEX(ETAPP!B$1:B$32,MATCH(COUNTIF(BI99:BR99,17),ETAPP!A$1:A$32,0))&amp;INDEX(ETAPP!B$1:B$32,MATCH(COUNTIF(BI99:BR99,18),ETAPP!A$1:A$32,0))&amp;INDEX(ETAPP!B$1:B$32,MATCH(COUNTIF(BI99:BR99,19),ETAPP!A$1:A$32,0))&amp;INDEX(ETAPP!B$1:B$32,MATCH(COUNTIF(BI99:BR99,20),ETAPP!A$1:A$32,0))&amp;INDEX(ETAPP!B$1:B$32,MATCH(COUNTIF(BI99:BR99,21),ETAPP!A$1:A$32,0))</f>
        <v>000000000000000000000</v>
      </c>
      <c r="T99" s="193" t="str">
        <f>TEXT(R99,"000,0")&amp;"-"&amp;S99</f>
        <v>000,0-000000000000000000000</v>
      </c>
      <c r="U99" s="193">
        <f>COUNTIF(T$7:T$126,"&gt;="&amp;T99)</f>
        <v>120</v>
      </c>
      <c r="V99" s="193">
        <f>COUNTIF(L$7:L$126,"&gt;="&amp;L99)</f>
        <v>48</v>
      </c>
      <c r="W99" s="193" t="str">
        <f>TEXT(R99,"000,0")&amp;"-"&amp;S99&amp;"-"&amp;TEXT(V99,"000")</f>
        <v>000,0-000000000000000000000-048</v>
      </c>
      <c r="X99" s="193">
        <f>COUNTIF(W$7:W$126,"&gt;="&amp;W99)</f>
        <v>93</v>
      </c>
      <c r="Y99" s="201">
        <f>RANK(X99,X$7:X$126,0)</f>
        <v>28</v>
      </c>
      <c r="Z99" s="202" t="str">
        <f>IFERROR(INDEX('V1'!C$300:C$400,MATCH("*"&amp;L99&amp;"*",'V1'!B$300:B$400,0)),"  ")</f>
        <v>  </v>
      </c>
      <c r="AA99" s="202" t="str">
        <f>IFERROR(INDEX('V2'!C$300:C$400,MATCH("*"&amp;L99&amp;"*",'V2'!B$300:B$400,0)),"  ")</f>
        <v>  </v>
      </c>
      <c r="AB99" s="202" t="str">
        <f>IFERROR(INDEX('V3'!C$300:C$400,MATCH("*"&amp;L99&amp;"*",'V3'!B$300:B$400,0)),"  ")</f>
        <v>  </v>
      </c>
      <c r="AC99" s="202" t="str">
        <f>IFERROR(INDEX('V4'!C$300:C$400,MATCH("*"&amp;L99&amp;"*",'V4'!B$300:B$400,0)),"  ")</f>
        <v>  </v>
      </c>
      <c r="AD99" s="202" t="str">
        <f>IFERROR(INDEX('V5'!C$300:C$400,MATCH("*"&amp;L99&amp;"*",'V5'!B$300:B$400,0)),"  ")</f>
        <v>  </v>
      </c>
      <c r="AE99" s="202" t="str">
        <f>IFERROR(INDEX('V6'!C$300:C$400,MATCH("*"&amp;L99&amp;"*",'V6'!B$300:B$400,0)),"  ")</f>
        <v>  </v>
      </c>
      <c r="AF99" s="202" t="str">
        <f>IFERROR(INDEX('V7'!C$300:C$400,MATCH("*"&amp;L99&amp;"*",'V7'!B$300:B$400,0)),"  ")</f>
        <v>  </v>
      </c>
      <c r="AG99" s="202" t="str">
        <f>IFERROR(INDEX('V8'!C$300:C$400,MATCH("*"&amp;L99&amp;"*",'V8'!B$300:B$400,0)),"  ")</f>
        <v>  </v>
      </c>
      <c r="AH99" s="202"/>
      <c r="AI99" s="202"/>
      <c r="AJ99" s="222" t="str">
        <f>IF(AN99&gt;(AT$2-1),K99,"")</f>
        <v/>
      </c>
      <c r="AK99" s="223">
        <f>SUM(Z99:AI99)</f>
        <v>0</v>
      </c>
      <c r="AL99" s="224" t="str">
        <f>IFERROR("edasi "&amp;RANK(AJ99,AJ$7:AJ$126,1),K99)</f>
        <v/>
      </c>
      <c r="AM99" s="225" t="str">
        <f>IFERROR(INDEX(#REF!,MATCH("*"&amp;L99&amp;"*",#REF!,0)),"  ")</f>
        <v>  </v>
      </c>
      <c r="AN99" s="226">
        <f>COUNTIF(Z99:AI99,"&gt;=0")</f>
        <v>0</v>
      </c>
      <c r="AO99" s="126">
        <f>IFERROR(IF(Z99+1&gt;LARGE(Z$7:Z$126,1)-2*LEN(Z$5),1),0)+IFERROR(IF(AA99+1&gt;LARGE(AA$7:AA$126,1)-2*LEN(AA$5),1),0)+IFERROR(IF(AB99+1&gt;LARGE(AB$7:AB$126,1)-2*LEN(AB$5),1),0)+IFERROR(IF(AC99+1&gt;LARGE(AC$7:AC$126,1)-2*LEN(AC$5),1),0)+IFERROR(IF(AD99+1&gt;LARGE(AD$7:AD$126,1)-2*LEN(AD$5),1),0)+IFERROR(IF(AE99+1&gt;LARGE(AE$7:AE$126,1)-2*LEN(AE$5),1),0)+IFERROR(IF(AF99+1&gt;LARGE(AF$7:AF$126,1)-2*LEN(AF$5),1),0)+IFERROR(IF(AG99+1&gt;LARGE(AG$7:AG$126,1)-2*LEN(AG$5),1),0)+IFERROR(IF(AH99+1&gt;LARGE(AH$7:AH$126,1)-2*LEN(AH$5),1),0)+IFERROR(IF(AI99+1&gt;LARGE(AI$7:AI$126,1)-2*LEN(AI$5),1),0)</f>
        <v>0</v>
      </c>
      <c r="AP99" s="126">
        <f>IF(Z99=0,0,IF(Z99=IFERROR(LARGE(Z$7:Z$126,1),0),1,0))+IF(AA99=0,0,IF(AA99=IFERROR(LARGE(AA$7:AA$126,1),0),1,0))+IF(AB99=0,0,IF(AB99=IFERROR(LARGE(AB$7:AB$126,1),0),1,0))+IF(AC99=0,0,IF(AC99=IFERROR(LARGE(AC$7:AC$126,1),0),1,0))+IF(AD99=0,0,IF(AD99=IFERROR(LARGE(AD$7:AD$126,1),0),1,0))+IF(AE99=0,0,IF(AE99=IFERROR(LARGE(AE$7:AE$126,1),0),1,0))+IF(AF99=0,0,IF(AF99=IFERROR(LARGE(AF$7:AF$126,1),0),1,0))+IF(AG99=0,0,IF(AG99=IFERROR(LARGE(AG$7:AG$126,1),0),1,0))+IF(AH99=0,0,IF(AH99=IFERROR(LARGE(AH$7:AH$126,1),0),1,0))+IF(AI99=0,0,IF(AI99=IFERROR(LARGE(AI$7:AI$126,1),0),1,0))</f>
        <v>0</v>
      </c>
      <c r="AQ99" s="233"/>
      <c r="AR99" s="233"/>
      <c r="AS99" s="233"/>
      <c r="AT99" s="234">
        <f>SMALL(AU99:BD99,AT$3)</f>
        <v>0.0001</v>
      </c>
      <c r="AU99" s="235">
        <f>IF(Z99="  ",0+MID(Z$6,FIND("V",Z$6)+1,256)/10000,Z99+MID(Z$6,FIND("V",Z$6)+1,256)/10000)</f>
        <v>0.0001</v>
      </c>
      <c r="AV99" s="235">
        <f>IF(AA99="  ",0+MID(AA$6,FIND("V",AA$6)+1,256)/10000,AA99+MID(AA$6,FIND("V",AA$6)+1,256)/10000)</f>
        <v>0.0002</v>
      </c>
      <c r="AW99" s="235">
        <f>IF(AB99="  ",0+MID(AB$6,FIND("V",AB$6)+1,256)/10000,AB99+MID(AB$6,FIND("V",AB$6)+1,256)/10000)</f>
        <v>0.0003</v>
      </c>
      <c r="AX99" s="235">
        <f>IF(AC99="  ",0+MID(AC$6,FIND("V",AC$6)+1,256)/10000,AC99+MID(AC$6,FIND("V",AC$6)+1,256)/10000)</f>
        <v>0.0004</v>
      </c>
      <c r="AY99" s="235">
        <f>IF(AD99="  ",0+MID(AD$6,FIND("V",AD$6)+1,256)/10000,AD99+MID(AD$6,FIND("V",AD$6)+1,256)/10000)</f>
        <v>0.0005</v>
      </c>
      <c r="AZ99" s="235">
        <f>IF(AE99="  ",0+MID(AE$6,FIND("V",AE$6)+1,256)/10000,AE99+MID(AE$6,FIND("V",AE$6)+1,256)/10000)</f>
        <v>0.0006</v>
      </c>
      <c r="BA99" s="235">
        <f>IF(AF99="  ",0+MID(AF$6,FIND("V",AF$6)+1,256)/10000,AF99+MID(AF$6,FIND("V",AF$6)+1,256)/10000)</f>
        <v>0.0007</v>
      </c>
      <c r="BB99" s="235">
        <f>IF(AG99="  ",0+MID(AG$6,FIND("V",AG$6)+1,256)/10000,AG99+MID(AG$6,FIND("V",AG$6)+1,256)/10000)</f>
        <v>0.0008</v>
      </c>
      <c r="BC99" s="235">
        <f>IF(AH99="  ",0+MID(AH$6,FIND("V",AH$6)+1,256)/10000,AH99+MID(AH$6,FIND("V",AH$6)+1,256)/10000)</f>
        <v>0.0009</v>
      </c>
      <c r="BD99" s="235">
        <f>IF(AI99="  ",0+MID(AI$6,FIND("V",AI$6)+1,256)/10000,AI99+MID(AI$6,FIND("V",AI$6)+1,256)/10000)</f>
        <v>0.001</v>
      </c>
      <c r="BE99" s="233"/>
      <c r="BF99" s="233"/>
      <c r="BG99" s="233"/>
      <c r="BH99" s="233"/>
      <c r="BI99" s="3" t="e">
        <f>(LARGE(Z$7:Z$126,1)-Z99)/2+1</f>
        <v>#VALUE!</v>
      </c>
      <c r="BJ99" s="3" t="e">
        <f>(LARGE(AA$7:AA$126,1)-AA99)/2+1</f>
        <v>#VALUE!</v>
      </c>
      <c r="BK99" s="3" t="e">
        <f>(LARGE(AB$7:AB$126,1)-AB99)/2+1</f>
        <v>#VALUE!</v>
      </c>
      <c r="BL99" s="3" t="e">
        <f>(LARGE(AC$7:AC$126,1)-AC99)/2+1</f>
        <v>#VALUE!</v>
      </c>
      <c r="BM99" s="3" t="e">
        <f>(LARGE(AD$7:AD$126,1)-AD99)/2+1</f>
        <v>#VALUE!</v>
      </c>
      <c r="BN99" s="3" t="e">
        <f>(LARGE(AE$7:AE$126,1)-AE99)/2+1</f>
        <v>#VALUE!</v>
      </c>
      <c r="BO99" s="3" t="e">
        <f>(LARGE(AF$7:AF$126,1)-AF99)/2+1</f>
        <v>#VALUE!</v>
      </c>
      <c r="BP99" s="3" t="e">
        <f>(LARGE(AG$7:AG$126,1)-AG99)/2+1</f>
        <v>#VALUE!</v>
      </c>
      <c r="BQ99" s="3" t="e">
        <f>(LARGE(AH$7:AH$126,1)-AH99)/2+1</f>
        <v>#NUM!</v>
      </c>
      <c r="BR99" s="3" t="e">
        <f>(LARGE(AI$7:AI$126,1)-AI99)/2+1</f>
        <v>#NUM!</v>
      </c>
    </row>
    <row r="100" ht="12.75" hidden="1" customHeight="1" spans="1:70">
      <c r="A100" s="139" t="str">
        <f>IF(R100&gt;0,IF(Q100="Viru SK",RANK(B100,B$7:B$126,1)-COUNTIF((Q$7:Q$126),"&lt;&gt;Viru SK"),""),"")</f>
        <v/>
      </c>
      <c r="B100" s="140">
        <f>IF((Q100="Viru SK"),U100,U100-1000)</f>
        <v>-880</v>
      </c>
      <c r="C100" s="141" t="str">
        <f>IF(R100&gt;0,IF(P100="t",RANK(D100,D$7:D$126,1)-COUNTBLANK(P$7:P$126),""),"")</f>
        <v/>
      </c>
      <c r="D100" s="142">
        <f>IF((P100="t"),U100,U100-1000)</f>
        <v>-880</v>
      </c>
      <c r="E100" s="143" t="str">
        <f>IF(R100&gt;0,IF(N100="m",RANK(F100,F$7:F$126,1)-COUNTBLANK(N$7:N$126),""),"")</f>
        <v/>
      </c>
      <c r="F100" s="144">
        <f>IF((N100="m"),U100,U100-1000)</f>
        <v>-880</v>
      </c>
      <c r="G100" s="145" t="str">
        <f>IF(R100&gt;0,IF(M100="n",RANK(H100,H$7:H$126,1)-COUNTBLANK(M$7:M$126),""),"")</f>
        <v/>
      </c>
      <c r="H100" s="144">
        <f>IF((M100="n"),U100,U100-1000)</f>
        <v>120</v>
      </c>
      <c r="I100" s="160" t="str">
        <f>IF(R100&gt;0,IF(O100="j",RANK(J100,J$7:J$126,1)-COUNTBLANK(O$7:O$126),""),"")</f>
        <v/>
      </c>
      <c r="J100" s="161">
        <f>IF((O100="j"),U100,U100-1000)</f>
        <v>-880</v>
      </c>
      <c r="K100" s="162" t="str">
        <f>IF(R100&gt;0,RANK(U100,U$7:U$126,1),"")</f>
        <v/>
      </c>
      <c r="L100" s="241" t="s">
        <v>291</v>
      </c>
      <c r="M100" s="164" t="s">
        <v>203</v>
      </c>
      <c r="N100" s="165" t="str">
        <f>IF(M100="","m","")</f>
        <v/>
      </c>
      <c r="O100" s="166"/>
      <c r="P100" s="167"/>
      <c r="Q100" s="192"/>
      <c r="R100" s="154">
        <f>(IF(COUNT(Z100,AA100,AB100,AC100,AD100,AE100,AF100,AG100,AH100,AI100)&lt;10,SUM(Z100,AA100,AB100,AC100,AD100,AE100,AF100,AG100,AH100,AI100),SUM(LARGE((Z100,AA100,AB100,AC100,AD100,AE100,AF100,AG100,AH100,AI100),{1;2;3;4;5;6;7;8;9}))))</f>
        <v>0</v>
      </c>
      <c r="S100" s="193" t="str">
        <f>INDEX(ETAPP!B$1:B$32,MATCH(COUNTIF(BI100:BR100,1),ETAPP!A$1:A$32,0))&amp;INDEX(ETAPP!B$1:B$32,MATCH(COUNTIF(BI100:BR100,2),ETAPP!A$1:A$32,0))&amp;INDEX(ETAPP!B$1:B$32,MATCH(COUNTIF(BI100:BR100,3),ETAPP!A$1:A$32,0))&amp;INDEX(ETAPP!B$1:B$32,MATCH(COUNTIF(BI100:BR100,4),ETAPP!A$1:A$32,0))&amp;INDEX(ETAPP!B$1:B$32,MATCH(COUNTIF(BI100:BR100,5),ETAPP!A$1:A$32,0))&amp;INDEX(ETAPP!B$1:B$32,MATCH(COUNTIF(BI100:BR100,6),ETAPP!A$1:A$32,0))&amp;INDEX(ETAPP!B$1:B$32,MATCH(COUNTIF(BI100:BR100,7),ETAPP!A$1:A$32,0))&amp;INDEX(ETAPP!B$1:B$32,MATCH(COUNTIF(BI100:BR100,8),ETAPP!A$1:A$32,0))&amp;INDEX(ETAPP!B$1:B$32,MATCH(COUNTIF(BI100:BR100,9),ETAPP!A$1:A$32,0))&amp;INDEX(ETAPP!B$1:B$32,MATCH(COUNTIF(BI100:BR100,10),ETAPP!A$1:A$32,0))&amp;INDEX(ETAPP!B$1:B$32,MATCH(COUNTIF(BI100:BR100,11),ETAPP!A$1:A$32,0))&amp;INDEX(ETAPP!B$1:B$32,MATCH(COUNTIF(BI100:BR100,12),ETAPP!A$1:A$32,0))&amp;INDEX(ETAPP!B$1:B$32,MATCH(COUNTIF(BI100:BR100,13),ETAPP!A$1:A$32,0))&amp;INDEX(ETAPP!B$1:B$32,MATCH(COUNTIF(BI100:BR100,14),ETAPP!A$1:A$32,0))&amp;INDEX(ETAPP!B$1:B$32,MATCH(COUNTIF(BI100:BR100,15),ETAPP!A$1:A$32,0))&amp;INDEX(ETAPP!B$1:B$32,MATCH(COUNTIF(BI100:BR100,16),ETAPP!A$1:A$32,0))&amp;INDEX(ETAPP!B$1:B$32,MATCH(COUNTIF(BI100:BR100,17),ETAPP!A$1:A$32,0))&amp;INDEX(ETAPP!B$1:B$32,MATCH(COUNTIF(BI100:BR100,18),ETAPP!A$1:A$32,0))&amp;INDEX(ETAPP!B$1:B$32,MATCH(COUNTIF(BI100:BR100,19),ETAPP!A$1:A$32,0))&amp;INDEX(ETAPP!B$1:B$32,MATCH(COUNTIF(BI100:BR100,20),ETAPP!A$1:A$32,0))&amp;INDEX(ETAPP!B$1:B$32,MATCH(COUNTIF(BI100:BR100,21),ETAPP!A$1:A$32,0))</f>
        <v>000000000000000000000</v>
      </c>
      <c r="T100" s="193" t="str">
        <f>TEXT(R100,"000,0")&amp;"-"&amp;S100</f>
        <v>000,0-000000000000000000000</v>
      </c>
      <c r="U100" s="193">
        <f>COUNTIF(T$7:T$126,"&gt;="&amp;T100)</f>
        <v>120</v>
      </c>
      <c r="V100" s="193">
        <f>COUNTIF(L$7:L$126,"&gt;="&amp;L100)</f>
        <v>47</v>
      </c>
      <c r="W100" s="193" t="str">
        <f>TEXT(R100,"000,0")&amp;"-"&amp;S100&amp;"-"&amp;TEXT(V100,"000")</f>
        <v>000,0-000000000000000000000-047</v>
      </c>
      <c r="X100" s="193">
        <f>COUNTIF(W$7:W$126,"&gt;="&amp;W100)</f>
        <v>94</v>
      </c>
      <c r="Y100" s="201">
        <f>RANK(X100,X$7:X$126,0)</f>
        <v>27</v>
      </c>
      <c r="Z100" s="202" t="str">
        <f>IFERROR(INDEX('V1'!C$300:C$400,MATCH("*"&amp;L100&amp;"*",'V1'!B$300:B$400,0)),"  ")</f>
        <v>  </v>
      </c>
      <c r="AA100" s="202" t="str">
        <f>IFERROR(INDEX('V2'!C$300:C$400,MATCH("*"&amp;L100&amp;"*",'V2'!B$300:B$400,0)),"  ")</f>
        <v>  </v>
      </c>
      <c r="AB100" s="202" t="str">
        <f>IFERROR(INDEX('V3'!C$300:C$400,MATCH("*"&amp;L100&amp;"*",'V3'!B$300:B$400,0)),"  ")</f>
        <v>  </v>
      </c>
      <c r="AC100" s="202" t="str">
        <f>IFERROR(INDEX('V4'!C$300:C$400,MATCH("*"&amp;L100&amp;"*",'V4'!B$300:B$400,0)),"  ")</f>
        <v>  </v>
      </c>
      <c r="AD100" s="202" t="str">
        <f>IFERROR(INDEX('V5'!C$300:C$400,MATCH("*"&amp;L100&amp;"*",'V5'!B$300:B$400,0)),"  ")</f>
        <v>  </v>
      </c>
      <c r="AE100" s="202" t="str">
        <f>IFERROR(INDEX('V6'!C$300:C$400,MATCH("*"&amp;L100&amp;"*",'V6'!B$300:B$400,0)),"  ")</f>
        <v>  </v>
      </c>
      <c r="AF100" s="202" t="str">
        <f>IFERROR(INDEX('V7'!C$300:C$400,MATCH("*"&amp;L100&amp;"*",'V7'!B$300:B$400,0)),"  ")</f>
        <v>  </v>
      </c>
      <c r="AG100" s="202" t="str">
        <f>IFERROR(INDEX('V8'!C$300:C$400,MATCH("*"&amp;L100&amp;"*",'V8'!B$300:B$400,0)),"  ")</f>
        <v>  </v>
      </c>
      <c r="AH100" s="202"/>
      <c r="AI100" s="202"/>
      <c r="AJ100" s="222" t="str">
        <f>IF(AN100&gt;(AT$2-1),K100,"")</f>
        <v/>
      </c>
      <c r="AK100" s="223">
        <f>SUM(Z100:AI100)</f>
        <v>0</v>
      </c>
      <c r="AL100" s="224" t="str">
        <f>IFERROR("edasi "&amp;RANK(AJ100,AJ$7:AJ$126,1),K100)</f>
        <v/>
      </c>
      <c r="AM100" s="225" t="str">
        <f>IFERROR(INDEX(#REF!,MATCH("*"&amp;L100&amp;"*",#REF!,0)),"  ")</f>
        <v>  </v>
      </c>
      <c r="AN100" s="226">
        <f>COUNTIF(Z100:AI100,"&gt;=0")</f>
        <v>0</v>
      </c>
      <c r="AO100" s="126">
        <f>IFERROR(IF(Z100+1&gt;LARGE(Z$7:Z$126,1)-2*LEN(Z$5),1),0)+IFERROR(IF(AA100+1&gt;LARGE(AA$7:AA$126,1)-2*LEN(AA$5),1),0)+IFERROR(IF(AB100+1&gt;LARGE(AB$7:AB$126,1)-2*LEN(AB$5),1),0)+IFERROR(IF(AC100+1&gt;LARGE(AC$7:AC$126,1)-2*LEN(AC$5),1),0)+IFERROR(IF(AD100+1&gt;LARGE(AD$7:AD$126,1)-2*LEN(AD$5),1),0)+IFERROR(IF(AE100+1&gt;LARGE(AE$7:AE$126,1)-2*LEN(AE$5),1),0)+IFERROR(IF(AF100+1&gt;LARGE(AF$7:AF$126,1)-2*LEN(AF$5),1),0)+IFERROR(IF(AG100+1&gt;LARGE(AG$7:AG$126,1)-2*LEN(AG$5),1),0)+IFERROR(IF(AH100+1&gt;LARGE(AH$7:AH$126,1)-2*LEN(AH$5),1),0)+IFERROR(IF(AI100+1&gt;LARGE(AI$7:AI$126,1)-2*LEN(AI$5),1),0)</f>
        <v>0</v>
      </c>
      <c r="AP100" s="126">
        <f>IF(Z100=0,0,IF(Z100=IFERROR(LARGE(Z$7:Z$126,1),0),1,0))+IF(AA100=0,0,IF(AA100=IFERROR(LARGE(AA$7:AA$126,1),0),1,0))+IF(AB100=0,0,IF(AB100=IFERROR(LARGE(AB$7:AB$126,1),0),1,0))+IF(AC100=0,0,IF(AC100=IFERROR(LARGE(AC$7:AC$126,1),0),1,0))+IF(AD100=0,0,IF(AD100=IFERROR(LARGE(AD$7:AD$126,1),0),1,0))+IF(AE100=0,0,IF(AE100=IFERROR(LARGE(AE$7:AE$126,1),0),1,0))+IF(AF100=0,0,IF(AF100=IFERROR(LARGE(AF$7:AF$126,1),0),1,0))+IF(AG100=0,0,IF(AG100=IFERROR(LARGE(AG$7:AG$126,1),0),1,0))+IF(AH100=0,0,IF(AH100=IFERROR(LARGE(AH$7:AH$126,1),0),1,0))+IF(AI100=0,0,IF(AI100=IFERROR(LARGE(AI$7:AI$126,1),0),1,0))</f>
        <v>0</v>
      </c>
      <c r="AQ100" s="233"/>
      <c r="AR100" s="233"/>
      <c r="AS100" s="233"/>
      <c r="AT100" s="234">
        <f>SMALL(AU100:BD100,AT$3)</f>
        <v>0.0001</v>
      </c>
      <c r="AU100" s="235">
        <f>IF(Z100="  ",0+MID(Z$6,FIND("V",Z$6)+1,256)/10000,Z100+MID(Z$6,FIND("V",Z$6)+1,256)/10000)</f>
        <v>0.0001</v>
      </c>
      <c r="AV100" s="235">
        <f>IF(AA100="  ",0+MID(AA$6,FIND("V",AA$6)+1,256)/10000,AA100+MID(AA$6,FIND("V",AA$6)+1,256)/10000)</f>
        <v>0.0002</v>
      </c>
      <c r="AW100" s="235">
        <f>IF(AB100="  ",0+MID(AB$6,FIND("V",AB$6)+1,256)/10000,AB100+MID(AB$6,FIND("V",AB$6)+1,256)/10000)</f>
        <v>0.0003</v>
      </c>
      <c r="AX100" s="235">
        <f>IF(AC100="  ",0+MID(AC$6,FIND("V",AC$6)+1,256)/10000,AC100+MID(AC$6,FIND("V",AC$6)+1,256)/10000)</f>
        <v>0.0004</v>
      </c>
      <c r="AY100" s="235">
        <f>IF(AD100="  ",0+MID(AD$6,FIND("V",AD$6)+1,256)/10000,AD100+MID(AD$6,FIND("V",AD$6)+1,256)/10000)</f>
        <v>0.0005</v>
      </c>
      <c r="AZ100" s="235">
        <f>IF(AE100="  ",0+MID(AE$6,FIND("V",AE$6)+1,256)/10000,AE100+MID(AE$6,FIND("V",AE$6)+1,256)/10000)</f>
        <v>0.0006</v>
      </c>
      <c r="BA100" s="235">
        <f>IF(AF100="  ",0+MID(AF$6,FIND("V",AF$6)+1,256)/10000,AF100+MID(AF$6,FIND("V",AF$6)+1,256)/10000)</f>
        <v>0.0007</v>
      </c>
      <c r="BB100" s="235">
        <f>IF(AG100="  ",0+MID(AG$6,FIND("V",AG$6)+1,256)/10000,AG100+MID(AG$6,FIND("V",AG$6)+1,256)/10000)</f>
        <v>0.0008</v>
      </c>
      <c r="BC100" s="235">
        <f>IF(AH100="  ",0+MID(AH$6,FIND("V",AH$6)+1,256)/10000,AH100+MID(AH$6,FIND("V",AH$6)+1,256)/10000)</f>
        <v>0.0009</v>
      </c>
      <c r="BD100" s="235">
        <f>IF(AI100="  ",0+MID(AI$6,FIND("V",AI$6)+1,256)/10000,AI100+MID(AI$6,FIND("V",AI$6)+1,256)/10000)</f>
        <v>0.001</v>
      </c>
      <c r="BE100" s="233"/>
      <c r="BF100" s="233"/>
      <c r="BG100" s="233"/>
      <c r="BH100" s="233"/>
      <c r="BI100" s="3" t="e">
        <f>(LARGE(Z$7:Z$126,1)-Z100)/2+1</f>
        <v>#VALUE!</v>
      </c>
      <c r="BJ100" s="3" t="e">
        <f>(LARGE(AA$7:AA$126,1)-AA100)/2+1</f>
        <v>#VALUE!</v>
      </c>
      <c r="BK100" s="3" t="e">
        <f>(LARGE(AB$7:AB$126,1)-AB100)/2+1</f>
        <v>#VALUE!</v>
      </c>
      <c r="BL100" s="3" t="e">
        <f>(LARGE(AC$7:AC$126,1)-AC100)/2+1</f>
        <v>#VALUE!</v>
      </c>
      <c r="BM100" s="3" t="e">
        <f>(LARGE(AD$7:AD$126,1)-AD100)/2+1</f>
        <v>#VALUE!</v>
      </c>
      <c r="BN100" s="3" t="e">
        <f>(LARGE(AE$7:AE$126,1)-AE100)/2+1</f>
        <v>#VALUE!</v>
      </c>
      <c r="BO100" s="3" t="e">
        <f>(LARGE(AF$7:AF$126,1)-AF100)/2+1</f>
        <v>#VALUE!</v>
      </c>
      <c r="BP100" s="3" t="e">
        <f>(LARGE(AG$7:AG$126,1)-AG100)/2+1</f>
        <v>#VALUE!</v>
      </c>
      <c r="BQ100" s="3" t="e">
        <f>(LARGE(AH$7:AH$126,1)-AH100)/2+1</f>
        <v>#NUM!</v>
      </c>
      <c r="BR100" s="3" t="e">
        <f>(LARGE(AI$7:AI$126,1)-AI100)/2+1</f>
        <v>#NUM!</v>
      </c>
    </row>
    <row r="101" ht="12.75" hidden="1" customHeight="1" spans="1:70">
      <c r="A101" s="139" t="str">
        <f>IF(R101&gt;0,IF(Q101="Viru SK",RANK(B101,B$7:B$126,1)-COUNTIF((Q$7:Q$126),"&lt;&gt;Viru SK"),""),"")</f>
        <v/>
      </c>
      <c r="B101" s="140">
        <f>IF((Q101="Viru SK"),U101,U101-1000)</f>
        <v>-880</v>
      </c>
      <c r="C101" s="141" t="str">
        <f>IF(R101&gt;0,IF(P101="t",RANK(D101,D$7:D$126,1)-COUNTBLANK(P$7:P$126),""),"")</f>
        <v/>
      </c>
      <c r="D101" s="142">
        <f>IF((P101="t"),U101,U101-1000)</f>
        <v>-880</v>
      </c>
      <c r="E101" s="143" t="str">
        <f>IF(R101&gt;0,IF(N101="m",RANK(F101,F$7:F$126,1)-COUNTBLANK(N$7:N$126),""),"")</f>
        <v/>
      </c>
      <c r="F101" s="144">
        <f>IF((N101="m"),U101,U101-1000)</f>
        <v>120</v>
      </c>
      <c r="G101" s="145" t="str">
        <f>IF(R101&gt;0,IF(M101="n",RANK(H101,H$7:H$126,1)-COUNTBLANK(M$7:M$126),""),"")</f>
        <v/>
      </c>
      <c r="H101" s="144">
        <f>IF((M101="n"),U101,U101-1000)</f>
        <v>-880</v>
      </c>
      <c r="I101" s="160" t="str">
        <f>IF(R101&gt;0,IF(O101="j",RANK(J101,J$7:J$126,1)-COUNTBLANK(O$7:O$126),""),"")</f>
        <v/>
      </c>
      <c r="J101" s="161">
        <f>IF((O101="j"),U101,U101-1000)</f>
        <v>-880</v>
      </c>
      <c r="K101" s="162" t="str">
        <f>IF(R101&gt;0,RANK(U101,U$7:U$126,1),"")</f>
        <v/>
      </c>
      <c r="L101" s="163" t="s">
        <v>292</v>
      </c>
      <c r="M101" s="164"/>
      <c r="N101" s="165" t="s">
        <v>193</v>
      </c>
      <c r="O101" s="166"/>
      <c r="P101" s="167"/>
      <c r="Q101" s="192" t="s">
        <v>293</v>
      </c>
      <c r="R101" s="154">
        <f>(IF(COUNT(Z101,AA101,AB101,AC101,AD101,AE101,AF101,AG101,AH101,AI101)&lt;10,SUM(Z101,AA101,AB101,AC101,AD101,AE101,AF101,AG101,AH101,AI101),SUM(LARGE((Z101,AA101,AB101,AC101,AD101,AE101,AF101,AG101,AH101,AI101),{1;2;3;4;5;6;7;8;9}))))</f>
        <v>0</v>
      </c>
      <c r="S101" s="193" t="str">
        <f>INDEX(ETAPP!B$1:B$32,MATCH(COUNTIF(BI101:BR101,1),ETAPP!A$1:A$32,0))&amp;INDEX(ETAPP!B$1:B$32,MATCH(COUNTIF(BI101:BR101,2),ETAPP!A$1:A$32,0))&amp;INDEX(ETAPP!B$1:B$32,MATCH(COUNTIF(BI101:BR101,3),ETAPP!A$1:A$32,0))&amp;INDEX(ETAPP!B$1:B$32,MATCH(COUNTIF(BI101:BR101,4),ETAPP!A$1:A$32,0))&amp;INDEX(ETAPP!B$1:B$32,MATCH(COUNTIF(BI101:BR101,5),ETAPP!A$1:A$32,0))&amp;INDEX(ETAPP!B$1:B$32,MATCH(COUNTIF(BI101:BR101,6),ETAPP!A$1:A$32,0))&amp;INDEX(ETAPP!B$1:B$32,MATCH(COUNTIF(BI101:BR101,7),ETAPP!A$1:A$32,0))&amp;INDEX(ETAPP!B$1:B$32,MATCH(COUNTIF(BI101:BR101,8),ETAPP!A$1:A$32,0))&amp;INDEX(ETAPP!B$1:B$32,MATCH(COUNTIF(BI101:BR101,9),ETAPP!A$1:A$32,0))&amp;INDEX(ETAPP!B$1:B$32,MATCH(COUNTIF(BI101:BR101,10),ETAPP!A$1:A$32,0))&amp;INDEX(ETAPP!B$1:B$32,MATCH(COUNTIF(BI101:BR101,11),ETAPP!A$1:A$32,0))&amp;INDEX(ETAPP!B$1:B$32,MATCH(COUNTIF(BI101:BR101,12),ETAPP!A$1:A$32,0))&amp;INDEX(ETAPP!B$1:B$32,MATCH(COUNTIF(BI101:BR101,13),ETAPP!A$1:A$32,0))&amp;INDEX(ETAPP!B$1:B$32,MATCH(COUNTIF(BI101:BR101,14),ETAPP!A$1:A$32,0))&amp;INDEX(ETAPP!B$1:B$32,MATCH(COUNTIF(BI101:BR101,15),ETAPP!A$1:A$32,0))&amp;INDEX(ETAPP!B$1:B$32,MATCH(COUNTIF(BI101:BR101,16),ETAPP!A$1:A$32,0))&amp;INDEX(ETAPP!B$1:B$32,MATCH(COUNTIF(BI101:BR101,17),ETAPP!A$1:A$32,0))&amp;INDEX(ETAPP!B$1:B$32,MATCH(COUNTIF(BI101:BR101,18),ETAPP!A$1:A$32,0))&amp;INDEX(ETAPP!B$1:B$32,MATCH(COUNTIF(BI101:BR101,19),ETAPP!A$1:A$32,0))&amp;INDEX(ETAPP!B$1:B$32,MATCH(COUNTIF(BI101:BR101,20),ETAPP!A$1:A$32,0))&amp;INDEX(ETAPP!B$1:B$32,MATCH(COUNTIF(BI101:BR101,21),ETAPP!A$1:A$32,0))</f>
        <v>000000000000000000000</v>
      </c>
      <c r="T101" s="193" t="str">
        <f>TEXT(R101,"000,0")&amp;"-"&amp;S101</f>
        <v>000,0-000000000000000000000</v>
      </c>
      <c r="U101" s="193">
        <f>COUNTIF(T$7:T$126,"&gt;="&amp;T101)</f>
        <v>120</v>
      </c>
      <c r="V101" s="193">
        <f>COUNTIF(L$7:L$126,"&gt;="&amp;L101)</f>
        <v>46</v>
      </c>
      <c r="W101" s="193" t="str">
        <f>TEXT(R101,"000,0")&amp;"-"&amp;S101&amp;"-"&amp;TEXT(V101,"000")</f>
        <v>000,0-000000000000000000000-046</v>
      </c>
      <c r="X101" s="193">
        <f>COUNTIF(W$7:W$126,"&gt;="&amp;W101)</f>
        <v>95</v>
      </c>
      <c r="Y101" s="201">
        <f>RANK(X101,X$7:X$126,0)</f>
        <v>26</v>
      </c>
      <c r="Z101" s="202" t="str">
        <f>IFERROR(INDEX('V1'!C$300:C$400,MATCH("*"&amp;L101&amp;"*",'V1'!B$300:B$400,0)),"  ")</f>
        <v>  </v>
      </c>
      <c r="AA101" s="202" t="str">
        <f>IFERROR(INDEX('V2'!C$300:C$400,MATCH("*"&amp;L101&amp;"*",'V2'!B$300:B$400,0)),"  ")</f>
        <v>  </v>
      </c>
      <c r="AB101" s="202" t="str">
        <f>IFERROR(INDEX('V3'!C$300:C$400,MATCH("*"&amp;L101&amp;"*",'V3'!B$300:B$400,0)),"  ")</f>
        <v>  </v>
      </c>
      <c r="AC101" s="202" t="str">
        <f>IFERROR(INDEX('V4'!C$300:C$400,MATCH("*"&amp;L101&amp;"*",'V4'!B$300:B$400,0)),"  ")</f>
        <v>  </v>
      </c>
      <c r="AD101" s="202" t="str">
        <f>IFERROR(INDEX('V5'!C$300:C$400,MATCH("*"&amp;L101&amp;"*",'V5'!B$300:B$400,0)),"  ")</f>
        <v>  </v>
      </c>
      <c r="AE101" s="202" t="str">
        <f>IFERROR(INDEX('V6'!C$300:C$400,MATCH("*"&amp;L101&amp;"*",'V6'!B$300:B$400,0)),"  ")</f>
        <v>  </v>
      </c>
      <c r="AF101" s="202" t="str">
        <f>IFERROR(INDEX('V7'!C$300:C$400,MATCH("*"&amp;L101&amp;"*",'V7'!B$300:B$400,0)),"  ")</f>
        <v>  </v>
      </c>
      <c r="AG101" s="202" t="str">
        <f>IFERROR(INDEX('V8'!C$300:C$400,MATCH("*"&amp;L101&amp;"*",'V8'!B$300:B$400,0)),"  ")</f>
        <v>  </v>
      </c>
      <c r="AH101" s="202"/>
      <c r="AI101" s="202"/>
      <c r="AJ101" s="222" t="str">
        <f>IF(AN101&gt;(AT$2-1),K101,"")</f>
        <v/>
      </c>
      <c r="AK101" s="223">
        <f>SUM(Z101:AI101)</f>
        <v>0</v>
      </c>
      <c r="AL101" s="224" t="str">
        <f>IFERROR("edasi "&amp;RANK(AJ101,AJ$7:AJ$126,1),K101)</f>
        <v/>
      </c>
      <c r="AM101" s="225" t="str">
        <f>IFERROR(INDEX(#REF!,MATCH("*"&amp;L101&amp;"*",#REF!,0)),"  ")</f>
        <v>  </v>
      </c>
      <c r="AN101" s="226">
        <f>COUNTIF(Z101:AI101,"&gt;=0")</f>
        <v>0</v>
      </c>
      <c r="AO101" s="126">
        <f>IFERROR(IF(Z101+1&gt;LARGE(Z$7:Z$126,1)-2*LEN(Z$5),1),0)+IFERROR(IF(AA101+1&gt;LARGE(AA$7:AA$126,1)-2*LEN(AA$5),1),0)+IFERROR(IF(AB101+1&gt;LARGE(AB$7:AB$126,1)-2*LEN(AB$5),1),0)+IFERROR(IF(AC101+1&gt;LARGE(AC$7:AC$126,1)-2*LEN(AC$5),1),0)+IFERROR(IF(AD101+1&gt;LARGE(AD$7:AD$126,1)-2*LEN(AD$5),1),0)+IFERROR(IF(AE101+1&gt;LARGE(AE$7:AE$126,1)-2*LEN(AE$5),1),0)+IFERROR(IF(AF101+1&gt;LARGE(AF$7:AF$126,1)-2*LEN(AF$5),1),0)+IFERROR(IF(AG101+1&gt;LARGE(AG$7:AG$126,1)-2*LEN(AG$5),1),0)+IFERROR(IF(AH101+1&gt;LARGE(AH$7:AH$126,1)-2*LEN(AH$5),1),0)+IFERROR(IF(AI101+1&gt;LARGE(AI$7:AI$126,1)-2*LEN(AI$5),1),0)</f>
        <v>0</v>
      </c>
      <c r="AP101" s="126">
        <f>IF(Z101=0,0,IF(Z101=IFERROR(LARGE(Z$7:Z$126,1),0),1,0))+IF(AA101=0,0,IF(AA101=IFERROR(LARGE(AA$7:AA$126,1),0),1,0))+IF(AB101=0,0,IF(AB101=IFERROR(LARGE(AB$7:AB$126,1),0),1,0))+IF(AC101=0,0,IF(AC101=IFERROR(LARGE(AC$7:AC$126,1),0),1,0))+IF(AD101=0,0,IF(AD101=IFERROR(LARGE(AD$7:AD$126,1),0),1,0))+IF(AE101=0,0,IF(AE101=IFERROR(LARGE(AE$7:AE$126,1),0),1,0))+IF(AF101=0,0,IF(AF101=IFERROR(LARGE(AF$7:AF$126,1),0),1,0))+IF(AG101=0,0,IF(AG101=IFERROR(LARGE(AG$7:AG$126,1),0),1,0))+IF(AH101=0,0,IF(AH101=IFERROR(LARGE(AH$7:AH$126,1),0),1,0))+IF(AI101=0,0,IF(AI101=IFERROR(LARGE(AI$7:AI$126,1),0),1,0))</f>
        <v>0</v>
      </c>
      <c r="AQ101" s="233"/>
      <c r="AR101" s="233"/>
      <c r="AS101" s="233"/>
      <c r="AT101" s="234">
        <f>SMALL(AU101:BD101,AT$3)</f>
        <v>0.0001</v>
      </c>
      <c r="AU101" s="235">
        <f>IF(Z101="  ",0+MID(Z$6,FIND("V",Z$6)+1,256)/10000,Z101+MID(Z$6,FIND("V",Z$6)+1,256)/10000)</f>
        <v>0.0001</v>
      </c>
      <c r="AV101" s="235">
        <f>IF(AA101="  ",0+MID(AA$6,FIND("V",AA$6)+1,256)/10000,AA101+MID(AA$6,FIND("V",AA$6)+1,256)/10000)</f>
        <v>0.0002</v>
      </c>
      <c r="AW101" s="235">
        <f>IF(AB101="  ",0+MID(AB$6,FIND("V",AB$6)+1,256)/10000,AB101+MID(AB$6,FIND("V",AB$6)+1,256)/10000)</f>
        <v>0.0003</v>
      </c>
      <c r="AX101" s="235">
        <f>IF(AC101="  ",0+MID(AC$6,FIND("V",AC$6)+1,256)/10000,AC101+MID(AC$6,FIND("V",AC$6)+1,256)/10000)</f>
        <v>0.0004</v>
      </c>
      <c r="AY101" s="235">
        <f>IF(AD101="  ",0+MID(AD$6,FIND("V",AD$6)+1,256)/10000,AD101+MID(AD$6,FIND("V",AD$6)+1,256)/10000)</f>
        <v>0.0005</v>
      </c>
      <c r="AZ101" s="235">
        <f>IF(AE101="  ",0+MID(AE$6,FIND("V",AE$6)+1,256)/10000,AE101+MID(AE$6,FIND("V",AE$6)+1,256)/10000)</f>
        <v>0.0006</v>
      </c>
      <c r="BA101" s="235">
        <f>IF(AF101="  ",0+MID(AF$6,FIND("V",AF$6)+1,256)/10000,AF101+MID(AF$6,FIND("V",AF$6)+1,256)/10000)</f>
        <v>0.0007</v>
      </c>
      <c r="BB101" s="235">
        <f>IF(AG101="  ",0+MID(AG$6,FIND("V",AG$6)+1,256)/10000,AG101+MID(AG$6,FIND("V",AG$6)+1,256)/10000)</f>
        <v>0.0008</v>
      </c>
      <c r="BC101" s="235">
        <f>IF(AH101="  ",0+MID(AH$6,FIND("V",AH$6)+1,256)/10000,AH101+MID(AH$6,FIND("V",AH$6)+1,256)/10000)</f>
        <v>0.0009</v>
      </c>
      <c r="BD101" s="235">
        <f>IF(AI101="  ",0+MID(AI$6,FIND("V",AI$6)+1,256)/10000,AI101+MID(AI$6,FIND("V",AI$6)+1,256)/10000)</f>
        <v>0.001</v>
      </c>
      <c r="BE101" s="233"/>
      <c r="BF101" s="233"/>
      <c r="BG101" s="233"/>
      <c r="BH101" s="233"/>
      <c r="BI101" s="3" t="e">
        <f>(LARGE(Z$7:Z$126,1)-Z101)/2+1</f>
        <v>#VALUE!</v>
      </c>
      <c r="BJ101" s="3" t="e">
        <f>(LARGE(AA$7:AA$126,1)-AA101)/2+1</f>
        <v>#VALUE!</v>
      </c>
      <c r="BK101" s="3" t="e">
        <f>(LARGE(AB$7:AB$126,1)-AB101)/2+1</f>
        <v>#VALUE!</v>
      </c>
      <c r="BL101" s="3" t="e">
        <f>(LARGE(AC$7:AC$126,1)-AC101)/2+1</f>
        <v>#VALUE!</v>
      </c>
      <c r="BM101" s="3" t="e">
        <f>(LARGE(AD$7:AD$126,1)-AD101)/2+1</f>
        <v>#VALUE!</v>
      </c>
      <c r="BN101" s="3" t="e">
        <f>(LARGE(AE$7:AE$126,1)-AE101)/2+1</f>
        <v>#VALUE!</v>
      </c>
      <c r="BO101" s="3" t="e">
        <f>(LARGE(AF$7:AF$126,1)-AF101)/2+1</f>
        <v>#VALUE!</v>
      </c>
      <c r="BP101" s="3" t="e">
        <f>(LARGE(AG$7:AG$126,1)-AG101)/2+1</f>
        <v>#VALUE!</v>
      </c>
      <c r="BQ101" s="3" t="e">
        <f>(LARGE(AH$7:AH$126,1)-AH101)/2+1</f>
        <v>#NUM!</v>
      </c>
      <c r="BR101" s="3" t="e">
        <f>(LARGE(AI$7:AI$126,1)-AI101)/2+1</f>
        <v>#NUM!</v>
      </c>
    </row>
    <row r="102" ht="12.75" hidden="1" customHeight="1" spans="1:70">
      <c r="A102" s="139" t="str">
        <f>IF(R102&gt;0,IF(Q102="Viru SK",RANK(B102,B$7:B$126,1)-COUNTIF((Q$7:Q$126),"&lt;&gt;Viru SK"),""),"")</f>
        <v/>
      </c>
      <c r="B102" s="140">
        <f>IF((Q102="Viru SK"),U102,U102-1000)</f>
        <v>120</v>
      </c>
      <c r="C102" s="141" t="str">
        <f>IF(R102&gt;0,IF(P102="t",RANK(D102,D$7:D$126,1)-COUNTBLANK(P$7:P$126),""),"")</f>
        <v/>
      </c>
      <c r="D102" s="142">
        <f>IF((P102="t"),U102,U102-1000)</f>
        <v>-880</v>
      </c>
      <c r="E102" s="143" t="str">
        <f>IF(R102&gt;0,IF(N102="m",RANK(F102,F$7:F$126,1)-COUNTBLANK(N$7:N$126),""),"")</f>
        <v/>
      </c>
      <c r="F102" s="144">
        <f>IF((N102="m"),U102,U102-1000)</f>
        <v>-880</v>
      </c>
      <c r="G102" s="145" t="str">
        <f>IF(R102&gt;0,IF(M102="n",RANK(H102,H$7:H$126,1)-COUNTBLANK(M$7:M$126),""),"")</f>
        <v/>
      </c>
      <c r="H102" s="144">
        <f>IF((M102="n"),U102,U102-1000)</f>
        <v>120</v>
      </c>
      <c r="I102" s="160" t="str">
        <f>IF(R102&gt;0,IF(O102="j",RANK(J102,J$7:J$126,1)-COUNTBLANK(O$7:O$126),""),"")</f>
        <v/>
      </c>
      <c r="J102" s="161">
        <f>IF((O102="j"),U102,U102-1000)</f>
        <v>-880</v>
      </c>
      <c r="K102" s="162" t="str">
        <f>IF(R102&gt;0,RANK(U102,U$7:U$126,1),"")</f>
        <v/>
      </c>
      <c r="L102" s="163" t="s">
        <v>294</v>
      </c>
      <c r="M102" s="164" t="s">
        <v>203</v>
      </c>
      <c r="N102" s="165"/>
      <c r="O102" s="166"/>
      <c r="P102" s="167"/>
      <c r="Q102" s="192" t="s">
        <v>171</v>
      </c>
      <c r="R102" s="154">
        <f>(IF(COUNT(Z102,AA102,AB102,AC102,AD102,AE102,AF102,AG102,AH102,AI102)&lt;10,SUM(Z102,AA102,AB102,AC102,AD102,AE102,AF102,AG102,AH102,AI102),SUM(LARGE((Z102,AA102,AB102,AC102,AD102,AE102,AF102,AG102,AH102,AI102),{1;2;3;4;5;6;7;8;9}))))</f>
        <v>0</v>
      </c>
      <c r="S102" s="193" t="str">
        <f>INDEX(ETAPP!B$1:B$32,MATCH(COUNTIF(BI102:BR102,1),ETAPP!A$1:A$32,0))&amp;INDEX(ETAPP!B$1:B$32,MATCH(COUNTIF(BI102:BR102,2),ETAPP!A$1:A$32,0))&amp;INDEX(ETAPP!B$1:B$32,MATCH(COUNTIF(BI102:BR102,3),ETAPP!A$1:A$32,0))&amp;INDEX(ETAPP!B$1:B$32,MATCH(COUNTIF(BI102:BR102,4),ETAPP!A$1:A$32,0))&amp;INDEX(ETAPP!B$1:B$32,MATCH(COUNTIF(BI102:BR102,5),ETAPP!A$1:A$32,0))&amp;INDEX(ETAPP!B$1:B$32,MATCH(COUNTIF(BI102:BR102,6),ETAPP!A$1:A$32,0))&amp;INDEX(ETAPP!B$1:B$32,MATCH(COUNTIF(BI102:BR102,7),ETAPP!A$1:A$32,0))&amp;INDEX(ETAPP!B$1:B$32,MATCH(COUNTIF(BI102:BR102,8),ETAPP!A$1:A$32,0))&amp;INDEX(ETAPP!B$1:B$32,MATCH(COUNTIF(BI102:BR102,9),ETAPP!A$1:A$32,0))&amp;INDEX(ETAPP!B$1:B$32,MATCH(COUNTIF(BI102:BR102,10),ETAPP!A$1:A$32,0))&amp;INDEX(ETAPP!B$1:B$32,MATCH(COUNTIF(BI102:BR102,11),ETAPP!A$1:A$32,0))&amp;INDEX(ETAPP!B$1:B$32,MATCH(COUNTIF(BI102:BR102,12),ETAPP!A$1:A$32,0))&amp;INDEX(ETAPP!B$1:B$32,MATCH(COUNTIF(BI102:BR102,13),ETAPP!A$1:A$32,0))&amp;INDEX(ETAPP!B$1:B$32,MATCH(COUNTIF(BI102:BR102,14),ETAPP!A$1:A$32,0))&amp;INDEX(ETAPP!B$1:B$32,MATCH(COUNTIF(BI102:BR102,15),ETAPP!A$1:A$32,0))&amp;INDEX(ETAPP!B$1:B$32,MATCH(COUNTIF(BI102:BR102,16),ETAPP!A$1:A$32,0))&amp;INDEX(ETAPP!B$1:B$32,MATCH(COUNTIF(BI102:BR102,17),ETAPP!A$1:A$32,0))&amp;INDEX(ETAPP!B$1:B$32,MATCH(COUNTIF(BI102:BR102,18),ETAPP!A$1:A$32,0))&amp;INDEX(ETAPP!B$1:B$32,MATCH(COUNTIF(BI102:BR102,19),ETAPP!A$1:A$32,0))&amp;INDEX(ETAPP!B$1:B$32,MATCH(COUNTIF(BI102:BR102,20),ETAPP!A$1:A$32,0))&amp;INDEX(ETAPP!B$1:B$32,MATCH(COUNTIF(BI102:BR102,21),ETAPP!A$1:A$32,0))</f>
        <v>000000000000000000000</v>
      </c>
      <c r="T102" s="193" t="str">
        <f>TEXT(R102,"000,0")&amp;"-"&amp;S102</f>
        <v>000,0-000000000000000000000</v>
      </c>
      <c r="U102" s="193">
        <f>COUNTIF(T$7:T$126,"&gt;="&amp;T102)</f>
        <v>120</v>
      </c>
      <c r="V102" s="193">
        <f>COUNTIF(L$7:L$126,"&gt;="&amp;L102)</f>
        <v>45</v>
      </c>
      <c r="W102" s="193" t="str">
        <f>TEXT(R102,"000,0")&amp;"-"&amp;S102&amp;"-"&amp;TEXT(V102,"000")</f>
        <v>000,0-000000000000000000000-045</v>
      </c>
      <c r="X102" s="193">
        <f>COUNTIF(W$7:W$126,"&gt;="&amp;W102)</f>
        <v>96</v>
      </c>
      <c r="Y102" s="201">
        <f>RANK(X102,X$7:X$126,0)</f>
        <v>25</v>
      </c>
      <c r="Z102" s="202" t="str">
        <f>IFERROR(INDEX('V1'!C$300:C$400,MATCH("*"&amp;L102&amp;"*",'V1'!B$300:B$400,0)),"  ")</f>
        <v>  </v>
      </c>
      <c r="AA102" s="202" t="str">
        <f>IFERROR(INDEX('V2'!C$300:C$400,MATCH("*"&amp;L102&amp;"*",'V2'!B$300:B$400,0)),"  ")</f>
        <v>  </v>
      </c>
      <c r="AB102" s="202" t="str">
        <f>IFERROR(INDEX('V3'!C$300:C$400,MATCH("*"&amp;L102&amp;"*",'V3'!B$300:B$400,0)),"  ")</f>
        <v>  </v>
      </c>
      <c r="AC102" s="202" t="str">
        <f>IFERROR(INDEX('V4'!C$300:C$400,MATCH("*"&amp;L102&amp;"*",'V4'!B$300:B$400,0)),"  ")</f>
        <v>  </v>
      </c>
      <c r="AD102" s="202" t="str">
        <f>IFERROR(INDEX('V5'!C$300:C$400,MATCH("*"&amp;L102&amp;"*",'V5'!B$300:B$400,0)),"  ")</f>
        <v>  </v>
      </c>
      <c r="AE102" s="202" t="str">
        <f>IFERROR(INDEX('V6'!C$300:C$400,MATCH("*"&amp;L102&amp;"*",'V6'!B$300:B$400,0)),"  ")</f>
        <v>  </v>
      </c>
      <c r="AF102" s="202" t="str">
        <f>IFERROR(INDEX('V7'!C$300:C$400,MATCH("*"&amp;L102&amp;"*",'V7'!B$300:B$400,0)),"  ")</f>
        <v>  </v>
      </c>
      <c r="AG102" s="202" t="str">
        <f>IFERROR(INDEX('V8'!C$300:C$400,MATCH("*"&amp;L102&amp;"*",'V8'!B$300:B$400,0)),"  ")</f>
        <v>  </v>
      </c>
      <c r="AH102" s="202"/>
      <c r="AI102" s="202"/>
      <c r="AJ102" s="222" t="str">
        <f>IF(AN102&gt;(AT$2-1),K102,"")</f>
        <v/>
      </c>
      <c r="AK102" s="223">
        <f>SUM(Z102:AI102)</f>
        <v>0</v>
      </c>
      <c r="AL102" s="224" t="str">
        <f>IFERROR("edasi "&amp;RANK(AJ102,AJ$7:AJ$126,1),K102)</f>
        <v/>
      </c>
      <c r="AM102" s="225" t="str">
        <f>IFERROR(INDEX(#REF!,MATCH("*"&amp;L102&amp;"*",#REF!,0)),"  ")</f>
        <v>  </v>
      </c>
      <c r="AN102" s="226">
        <f>COUNTIF(Z102:AI102,"&gt;=0")</f>
        <v>0</v>
      </c>
      <c r="AO102" s="126">
        <f>IFERROR(IF(Z102+1&gt;LARGE(Z$7:Z$126,1)-2*LEN(Z$5),1),0)+IFERROR(IF(AA102+1&gt;LARGE(AA$7:AA$126,1)-2*LEN(AA$5),1),0)+IFERROR(IF(AB102+1&gt;LARGE(AB$7:AB$126,1)-2*LEN(AB$5),1),0)+IFERROR(IF(AC102+1&gt;LARGE(AC$7:AC$126,1)-2*LEN(AC$5),1),0)+IFERROR(IF(AD102+1&gt;LARGE(AD$7:AD$126,1)-2*LEN(AD$5),1),0)+IFERROR(IF(AE102+1&gt;LARGE(AE$7:AE$126,1)-2*LEN(AE$5),1),0)+IFERROR(IF(AF102+1&gt;LARGE(AF$7:AF$126,1)-2*LEN(AF$5),1),0)+IFERROR(IF(AG102+1&gt;LARGE(AG$7:AG$126,1)-2*LEN(AG$5),1),0)+IFERROR(IF(AH102+1&gt;LARGE(AH$7:AH$126,1)-2*LEN(AH$5),1),0)+IFERROR(IF(AI102+1&gt;LARGE(AI$7:AI$126,1)-2*LEN(AI$5),1),0)</f>
        <v>0</v>
      </c>
      <c r="AP102" s="126">
        <f>IF(Z102=0,0,IF(Z102=IFERROR(LARGE(Z$7:Z$126,1),0),1,0))+IF(AA102=0,0,IF(AA102=IFERROR(LARGE(AA$7:AA$126,1),0),1,0))+IF(AB102=0,0,IF(AB102=IFERROR(LARGE(AB$7:AB$126,1),0),1,0))+IF(AC102=0,0,IF(AC102=IFERROR(LARGE(AC$7:AC$126,1),0),1,0))+IF(AD102=0,0,IF(AD102=IFERROR(LARGE(AD$7:AD$126,1),0),1,0))+IF(AE102=0,0,IF(AE102=IFERROR(LARGE(AE$7:AE$126,1),0),1,0))+IF(AF102=0,0,IF(AF102=IFERROR(LARGE(AF$7:AF$126,1),0),1,0))+IF(AG102=0,0,IF(AG102=IFERROR(LARGE(AG$7:AG$126,1),0),1,0))+IF(AH102=0,0,IF(AH102=IFERROR(LARGE(AH$7:AH$126,1),0),1,0))+IF(AI102=0,0,IF(AI102=IFERROR(LARGE(AI$7:AI$126,1),0),1,0))</f>
        <v>0</v>
      </c>
      <c r="AQ102" s="233"/>
      <c r="AR102" s="233"/>
      <c r="AS102" s="233"/>
      <c r="AT102" s="234">
        <f>SMALL(AU102:BD102,AT$3)</f>
        <v>0.0001</v>
      </c>
      <c r="AU102" s="235">
        <f>IF(Z102="  ",0+MID(Z$6,FIND("V",Z$6)+1,256)/10000,Z102+MID(Z$6,FIND("V",Z$6)+1,256)/10000)</f>
        <v>0.0001</v>
      </c>
      <c r="AV102" s="235">
        <f>IF(AA102="  ",0+MID(AA$6,FIND("V",AA$6)+1,256)/10000,AA102+MID(AA$6,FIND("V",AA$6)+1,256)/10000)</f>
        <v>0.0002</v>
      </c>
      <c r="AW102" s="235">
        <f>IF(AB102="  ",0+MID(AB$6,FIND("V",AB$6)+1,256)/10000,AB102+MID(AB$6,FIND("V",AB$6)+1,256)/10000)</f>
        <v>0.0003</v>
      </c>
      <c r="AX102" s="235">
        <f>IF(AC102="  ",0+MID(AC$6,FIND("V",AC$6)+1,256)/10000,AC102+MID(AC$6,FIND("V",AC$6)+1,256)/10000)</f>
        <v>0.0004</v>
      </c>
      <c r="AY102" s="235">
        <f>IF(AD102="  ",0+MID(AD$6,FIND("V",AD$6)+1,256)/10000,AD102+MID(AD$6,FIND("V",AD$6)+1,256)/10000)</f>
        <v>0.0005</v>
      </c>
      <c r="AZ102" s="235">
        <f>IF(AE102="  ",0+MID(AE$6,FIND("V",AE$6)+1,256)/10000,AE102+MID(AE$6,FIND("V",AE$6)+1,256)/10000)</f>
        <v>0.0006</v>
      </c>
      <c r="BA102" s="235">
        <f>IF(AF102="  ",0+MID(AF$6,FIND("V",AF$6)+1,256)/10000,AF102+MID(AF$6,FIND("V",AF$6)+1,256)/10000)</f>
        <v>0.0007</v>
      </c>
      <c r="BB102" s="235">
        <f>IF(AG102="  ",0+MID(AG$6,FIND("V",AG$6)+1,256)/10000,AG102+MID(AG$6,FIND("V",AG$6)+1,256)/10000)</f>
        <v>0.0008</v>
      </c>
      <c r="BC102" s="235">
        <f>IF(AH102="  ",0+MID(AH$6,FIND("V",AH$6)+1,256)/10000,AH102+MID(AH$6,FIND("V",AH$6)+1,256)/10000)</f>
        <v>0.0009</v>
      </c>
      <c r="BD102" s="235">
        <f>IF(AI102="  ",0+MID(AI$6,FIND("V",AI$6)+1,256)/10000,AI102+MID(AI$6,FIND("V",AI$6)+1,256)/10000)</f>
        <v>0.001</v>
      </c>
      <c r="BE102" s="233"/>
      <c r="BF102" s="233"/>
      <c r="BG102" s="233"/>
      <c r="BH102" s="233"/>
      <c r="BI102" s="3" t="e">
        <f>(LARGE(Z$7:Z$126,1)-Z102)/2+1</f>
        <v>#VALUE!</v>
      </c>
      <c r="BJ102" s="3" t="e">
        <f>(LARGE(AA$7:AA$126,1)-AA102)/2+1</f>
        <v>#VALUE!</v>
      </c>
      <c r="BK102" s="3" t="e">
        <f>(LARGE(AB$7:AB$126,1)-AB102)/2+1</f>
        <v>#VALUE!</v>
      </c>
      <c r="BL102" s="3" t="e">
        <f>(LARGE(AC$7:AC$126,1)-AC102)/2+1</f>
        <v>#VALUE!</v>
      </c>
      <c r="BM102" s="3" t="e">
        <f>(LARGE(AD$7:AD$126,1)-AD102)/2+1</f>
        <v>#VALUE!</v>
      </c>
      <c r="BN102" s="3" t="e">
        <f>(LARGE(AE$7:AE$126,1)-AE102)/2+1</f>
        <v>#VALUE!</v>
      </c>
      <c r="BO102" s="3" t="e">
        <f>(LARGE(AF$7:AF$126,1)-AF102)/2+1</f>
        <v>#VALUE!</v>
      </c>
      <c r="BP102" s="3" t="e">
        <f>(LARGE(AG$7:AG$126,1)-AG102)/2+1</f>
        <v>#VALUE!</v>
      </c>
      <c r="BQ102" s="3" t="e">
        <f>(LARGE(AH$7:AH$126,1)-AH102)/2+1</f>
        <v>#NUM!</v>
      </c>
      <c r="BR102" s="3" t="e">
        <f>(LARGE(AI$7:AI$126,1)-AI102)/2+1</f>
        <v>#NUM!</v>
      </c>
    </row>
    <row r="103" ht="12.75" hidden="1" customHeight="1" spans="1:70">
      <c r="A103" s="139" t="str">
        <f>IF(R103&gt;0,IF(Q103="Viru SK",RANK(B103,B$7:B$126,1)-COUNTIF((Q$7:Q$126),"&lt;&gt;Viru SK"),""),"")</f>
        <v/>
      </c>
      <c r="B103" s="140">
        <f>IF((Q103="Viru SK"),U103,U103-1000)</f>
        <v>120</v>
      </c>
      <c r="C103" s="141" t="str">
        <f>IF(R103&gt;0,IF(P103="t",RANK(D103,D$7:D$126,1)-COUNTBLANK(P$7:P$126),""),"")</f>
        <v/>
      </c>
      <c r="D103" s="142">
        <f>IF((P103="t"),U103,U103-1000)</f>
        <v>120</v>
      </c>
      <c r="E103" s="143" t="str">
        <f>IF(R103&gt;0,IF(N103="m",RANK(F103,F$7:F$126,1)-COUNTBLANK(N$7:N$126),""),"")</f>
        <v/>
      </c>
      <c r="F103" s="144">
        <f>IF((N103="m"),U103,U103-1000)</f>
        <v>120</v>
      </c>
      <c r="G103" s="145" t="str">
        <f>IF(R103&gt;0,IF(M103="n",RANK(H103,H$7:H$126,1)-COUNTBLANK(M$7:M$126),""),"")</f>
        <v/>
      </c>
      <c r="H103" s="144">
        <f>IF((M103="n"),U103,U103-1000)</f>
        <v>-880</v>
      </c>
      <c r="I103" s="160" t="str">
        <f>IF(R103&gt;0,IF(O103="j",RANK(J103,J$7:J$126,1)-COUNTBLANK(O$7:O$126),""),"")</f>
        <v/>
      </c>
      <c r="J103" s="161">
        <f>IF((O103="j"),U103,U103-1000)</f>
        <v>120</v>
      </c>
      <c r="K103" s="162" t="str">
        <f>IF(R103&gt;0,RANK(U103,U$7:U$126,1),"")</f>
        <v/>
      </c>
      <c r="L103" s="163" t="s">
        <v>295</v>
      </c>
      <c r="M103" s="164"/>
      <c r="N103" s="165" t="s">
        <v>193</v>
      </c>
      <c r="O103" s="166" t="s">
        <v>251</v>
      </c>
      <c r="P103" s="167" t="s">
        <v>196</v>
      </c>
      <c r="Q103" s="192" t="s">
        <v>171</v>
      </c>
      <c r="R103" s="154">
        <f>(IF(COUNT(Z103,AA103,AB103,AC103,AD103,AE103,AF103,AG103,AH103,AI103)&lt;10,SUM(Z103,AA103,AB103,AC103,AD103,AE103,AF103,AG103,AH103,AI103),SUM(LARGE((Z103,AA103,AB103,AC103,AD103,AE103,AF103,AG103,AH103,AI103),{1;2;3;4;5;6;7;8;9}))))</f>
        <v>0</v>
      </c>
      <c r="S103" s="193" t="str">
        <f>INDEX(ETAPP!B$1:B$32,MATCH(COUNTIF(BI103:BR103,1),ETAPP!A$1:A$32,0))&amp;INDEX(ETAPP!B$1:B$32,MATCH(COUNTIF(BI103:BR103,2),ETAPP!A$1:A$32,0))&amp;INDEX(ETAPP!B$1:B$32,MATCH(COUNTIF(BI103:BR103,3),ETAPP!A$1:A$32,0))&amp;INDEX(ETAPP!B$1:B$32,MATCH(COUNTIF(BI103:BR103,4),ETAPP!A$1:A$32,0))&amp;INDEX(ETAPP!B$1:B$32,MATCH(COUNTIF(BI103:BR103,5),ETAPP!A$1:A$32,0))&amp;INDEX(ETAPP!B$1:B$32,MATCH(COUNTIF(BI103:BR103,6),ETAPP!A$1:A$32,0))&amp;INDEX(ETAPP!B$1:B$32,MATCH(COUNTIF(BI103:BR103,7),ETAPP!A$1:A$32,0))&amp;INDEX(ETAPP!B$1:B$32,MATCH(COUNTIF(BI103:BR103,8),ETAPP!A$1:A$32,0))&amp;INDEX(ETAPP!B$1:B$32,MATCH(COUNTIF(BI103:BR103,9),ETAPP!A$1:A$32,0))&amp;INDEX(ETAPP!B$1:B$32,MATCH(COUNTIF(BI103:BR103,10),ETAPP!A$1:A$32,0))&amp;INDEX(ETAPP!B$1:B$32,MATCH(COUNTIF(BI103:BR103,11),ETAPP!A$1:A$32,0))&amp;INDEX(ETAPP!B$1:B$32,MATCH(COUNTIF(BI103:BR103,12),ETAPP!A$1:A$32,0))&amp;INDEX(ETAPP!B$1:B$32,MATCH(COUNTIF(BI103:BR103,13),ETAPP!A$1:A$32,0))&amp;INDEX(ETAPP!B$1:B$32,MATCH(COUNTIF(BI103:BR103,14),ETAPP!A$1:A$32,0))&amp;INDEX(ETAPP!B$1:B$32,MATCH(COUNTIF(BI103:BR103,15),ETAPP!A$1:A$32,0))&amp;INDEX(ETAPP!B$1:B$32,MATCH(COUNTIF(BI103:BR103,16),ETAPP!A$1:A$32,0))&amp;INDEX(ETAPP!B$1:B$32,MATCH(COUNTIF(BI103:BR103,17),ETAPP!A$1:A$32,0))&amp;INDEX(ETAPP!B$1:B$32,MATCH(COUNTIF(BI103:BR103,18),ETAPP!A$1:A$32,0))&amp;INDEX(ETAPP!B$1:B$32,MATCH(COUNTIF(BI103:BR103,19),ETAPP!A$1:A$32,0))&amp;INDEX(ETAPP!B$1:B$32,MATCH(COUNTIF(BI103:BR103,20),ETAPP!A$1:A$32,0))&amp;INDEX(ETAPP!B$1:B$32,MATCH(COUNTIF(BI103:BR103,21),ETAPP!A$1:A$32,0))</f>
        <v>000000000000000000000</v>
      </c>
      <c r="T103" s="193" t="str">
        <f>TEXT(R103,"000,0")&amp;"-"&amp;S103</f>
        <v>000,0-000000000000000000000</v>
      </c>
      <c r="U103" s="193">
        <f>COUNTIF(T$7:T$126,"&gt;="&amp;T103)</f>
        <v>120</v>
      </c>
      <c r="V103" s="193">
        <f>COUNTIF(L$7:L$126,"&gt;="&amp;L103)</f>
        <v>42</v>
      </c>
      <c r="W103" s="193" t="str">
        <f>TEXT(R103,"000,0")&amp;"-"&amp;S103&amp;"-"&amp;TEXT(V103,"000")</f>
        <v>000,0-000000000000000000000-042</v>
      </c>
      <c r="X103" s="193">
        <f>COUNTIF(W$7:W$126,"&gt;="&amp;W103)</f>
        <v>97</v>
      </c>
      <c r="Y103" s="201">
        <f>RANK(X103,X$7:X$126,0)</f>
        <v>24</v>
      </c>
      <c r="Z103" s="202" t="str">
        <f>IFERROR(INDEX('V1'!C$300:C$400,MATCH("*"&amp;L103&amp;"*",'V1'!B$300:B$400,0)),"  ")</f>
        <v>  </v>
      </c>
      <c r="AA103" s="202" t="str">
        <f>IFERROR(INDEX('V2'!C$300:C$400,MATCH("*"&amp;L103&amp;"*",'V2'!B$300:B$400,0)),"  ")</f>
        <v>  </v>
      </c>
      <c r="AB103" s="202" t="str">
        <f>IFERROR(INDEX('V3'!C$300:C$400,MATCH("*"&amp;L103&amp;"*",'V3'!B$300:B$400,0)),"  ")</f>
        <v>  </v>
      </c>
      <c r="AC103" s="202" t="str">
        <f>IFERROR(INDEX('V4'!C$300:C$400,MATCH("*"&amp;L103&amp;"*",'V4'!B$300:B$400,0)),"  ")</f>
        <v>  </v>
      </c>
      <c r="AD103" s="202" t="str">
        <f>IFERROR(INDEX('V5'!C$300:C$400,MATCH("*"&amp;L103&amp;"*",'V5'!B$300:B$400,0)),"  ")</f>
        <v>  </v>
      </c>
      <c r="AE103" s="202" t="str">
        <f>IFERROR(INDEX('V6'!C$300:C$400,MATCH("*"&amp;L103&amp;"*",'V6'!B$300:B$400,0)),"  ")</f>
        <v>  </v>
      </c>
      <c r="AF103" s="202" t="str">
        <f>IFERROR(INDEX('V7'!C$300:C$400,MATCH("*"&amp;L103&amp;"*",'V7'!B$300:B$400,0)),"  ")</f>
        <v>  </v>
      </c>
      <c r="AG103" s="202" t="str">
        <f>IFERROR(INDEX('V8'!C$300:C$400,MATCH("*"&amp;L103&amp;"*",'V8'!B$300:B$400,0)),"  ")</f>
        <v>  </v>
      </c>
      <c r="AH103" s="202"/>
      <c r="AI103" s="202"/>
      <c r="AJ103" s="222" t="str">
        <f>IF(AN103&gt;(AT$2-1),K103,"")</f>
        <v/>
      </c>
      <c r="AK103" s="223">
        <f>SUM(Z103:AI103)</f>
        <v>0</v>
      </c>
      <c r="AL103" s="224" t="str">
        <f>IFERROR("edasi "&amp;RANK(AJ103,AJ$7:AJ$126,1),K103)</f>
        <v/>
      </c>
      <c r="AM103" s="225" t="str">
        <f>IFERROR(INDEX(#REF!,MATCH("*"&amp;L103&amp;"*",#REF!,0)),"  ")</f>
        <v>  </v>
      </c>
      <c r="AN103" s="226">
        <f>COUNTIF(Z103:AI103,"&gt;=0")</f>
        <v>0</v>
      </c>
      <c r="AO103" s="126">
        <f>IFERROR(IF(Z103+1&gt;LARGE(Z$7:Z$126,1)-2*LEN(Z$5),1),0)+IFERROR(IF(AA103+1&gt;LARGE(AA$7:AA$126,1)-2*LEN(AA$5),1),0)+IFERROR(IF(AB103+1&gt;LARGE(AB$7:AB$126,1)-2*LEN(AB$5),1),0)+IFERROR(IF(AC103+1&gt;LARGE(AC$7:AC$126,1)-2*LEN(AC$5),1),0)+IFERROR(IF(AD103+1&gt;LARGE(AD$7:AD$126,1)-2*LEN(AD$5),1),0)+IFERROR(IF(AE103+1&gt;LARGE(AE$7:AE$126,1)-2*LEN(AE$5),1),0)+IFERROR(IF(AF103+1&gt;LARGE(AF$7:AF$126,1)-2*LEN(AF$5),1),0)+IFERROR(IF(AG103+1&gt;LARGE(AG$7:AG$126,1)-2*LEN(AG$5),1),0)+IFERROR(IF(AH103+1&gt;LARGE(AH$7:AH$126,1)-2*LEN(AH$5),1),0)+IFERROR(IF(AI103+1&gt;LARGE(AI$7:AI$126,1)-2*LEN(AI$5),1),0)</f>
        <v>0</v>
      </c>
      <c r="AP103" s="126">
        <f>IF(Z103=0,0,IF(Z103=IFERROR(LARGE(Z$7:Z$126,1),0),1,0))+IF(AA103=0,0,IF(AA103=IFERROR(LARGE(AA$7:AA$126,1),0),1,0))+IF(AB103=0,0,IF(AB103=IFERROR(LARGE(AB$7:AB$126,1),0),1,0))+IF(AC103=0,0,IF(AC103=IFERROR(LARGE(AC$7:AC$126,1),0),1,0))+IF(AD103=0,0,IF(AD103=IFERROR(LARGE(AD$7:AD$126,1),0),1,0))+IF(AE103=0,0,IF(AE103=IFERROR(LARGE(AE$7:AE$126,1),0),1,0))+IF(AF103=0,0,IF(AF103=IFERROR(LARGE(AF$7:AF$126,1),0),1,0))+IF(AG103=0,0,IF(AG103=IFERROR(LARGE(AG$7:AG$126,1),0),1,0))+IF(AH103=0,0,IF(AH103=IFERROR(LARGE(AH$7:AH$126,1),0),1,0))+IF(AI103=0,0,IF(AI103=IFERROR(LARGE(AI$7:AI$126,1),0),1,0))</f>
        <v>0</v>
      </c>
      <c r="AQ103" s="233"/>
      <c r="AR103" s="233"/>
      <c r="AS103" s="233"/>
      <c r="AT103" s="234">
        <f>SMALL(AU103:BD103,AT$3)</f>
        <v>0.0001</v>
      </c>
      <c r="AU103" s="235">
        <f>IF(Z103="  ",0+MID(Z$6,FIND("V",Z$6)+1,256)/10000,Z103+MID(Z$6,FIND("V",Z$6)+1,256)/10000)</f>
        <v>0.0001</v>
      </c>
      <c r="AV103" s="235">
        <f>IF(AA103="  ",0+MID(AA$6,FIND("V",AA$6)+1,256)/10000,AA103+MID(AA$6,FIND("V",AA$6)+1,256)/10000)</f>
        <v>0.0002</v>
      </c>
      <c r="AW103" s="235">
        <f>IF(AB103="  ",0+MID(AB$6,FIND("V",AB$6)+1,256)/10000,AB103+MID(AB$6,FIND("V",AB$6)+1,256)/10000)</f>
        <v>0.0003</v>
      </c>
      <c r="AX103" s="235">
        <f>IF(AC103="  ",0+MID(AC$6,FIND("V",AC$6)+1,256)/10000,AC103+MID(AC$6,FIND("V",AC$6)+1,256)/10000)</f>
        <v>0.0004</v>
      </c>
      <c r="AY103" s="235">
        <f>IF(AD103="  ",0+MID(AD$6,FIND("V",AD$6)+1,256)/10000,AD103+MID(AD$6,FIND("V",AD$6)+1,256)/10000)</f>
        <v>0.0005</v>
      </c>
      <c r="AZ103" s="235">
        <f>IF(AE103="  ",0+MID(AE$6,FIND("V",AE$6)+1,256)/10000,AE103+MID(AE$6,FIND("V",AE$6)+1,256)/10000)</f>
        <v>0.0006</v>
      </c>
      <c r="BA103" s="235">
        <f>IF(AF103="  ",0+MID(AF$6,FIND("V",AF$6)+1,256)/10000,AF103+MID(AF$6,FIND("V",AF$6)+1,256)/10000)</f>
        <v>0.0007</v>
      </c>
      <c r="BB103" s="235">
        <f>IF(AG103="  ",0+MID(AG$6,FIND("V",AG$6)+1,256)/10000,AG103+MID(AG$6,FIND("V",AG$6)+1,256)/10000)</f>
        <v>0.0008</v>
      </c>
      <c r="BC103" s="235">
        <f>IF(AH103="  ",0+MID(AH$6,FIND("V",AH$6)+1,256)/10000,AH103+MID(AH$6,FIND("V",AH$6)+1,256)/10000)</f>
        <v>0.0009</v>
      </c>
      <c r="BD103" s="235">
        <f>IF(AI103="  ",0+MID(AI$6,FIND("V",AI$6)+1,256)/10000,AI103+MID(AI$6,FIND("V",AI$6)+1,256)/10000)</f>
        <v>0.001</v>
      </c>
      <c r="BE103" s="233"/>
      <c r="BF103" s="233"/>
      <c r="BG103" s="233"/>
      <c r="BH103" s="233"/>
      <c r="BI103" s="3" t="e">
        <f>(LARGE(Z$7:Z$126,1)-Z103)/2+1</f>
        <v>#VALUE!</v>
      </c>
      <c r="BJ103" s="3" t="e">
        <f>(LARGE(AA$7:AA$126,1)-AA103)/2+1</f>
        <v>#VALUE!</v>
      </c>
      <c r="BK103" s="3" t="e">
        <f>(LARGE(AB$7:AB$126,1)-AB103)/2+1</f>
        <v>#VALUE!</v>
      </c>
      <c r="BL103" s="3" t="e">
        <f>(LARGE(AC$7:AC$126,1)-AC103)/2+1</f>
        <v>#VALUE!</v>
      </c>
      <c r="BM103" s="3" t="e">
        <f>(LARGE(AD$7:AD$126,1)-AD103)/2+1</f>
        <v>#VALUE!</v>
      </c>
      <c r="BN103" s="3" t="e">
        <f>(LARGE(AE$7:AE$126,1)-AE103)/2+1</f>
        <v>#VALUE!</v>
      </c>
      <c r="BO103" s="3" t="e">
        <f>(LARGE(AF$7:AF$126,1)-AF103)/2+1</f>
        <v>#VALUE!</v>
      </c>
      <c r="BP103" s="3" t="e">
        <f>(LARGE(AG$7:AG$126,1)-AG103)/2+1</f>
        <v>#VALUE!</v>
      </c>
      <c r="BQ103" s="3" t="e">
        <f>(LARGE(AH$7:AH$126,1)-AH103)/2+1</f>
        <v>#NUM!</v>
      </c>
      <c r="BR103" s="3" t="e">
        <f>(LARGE(AI$7:AI$126,1)-AI103)/2+1</f>
        <v>#NUM!</v>
      </c>
    </row>
    <row r="104" ht="12.75" hidden="1" customHeight="1" spans="1:70">
      <c r="A104" s="139" t="str">
        <f>IF(R104&gt;0,IF(Q104="Viru SK",RANK(B104,B$7:B$126,1)-COUNTIF((Q$7:Q$126),"&lt;&gt;Viru SK"),""),"")</f>
        <v/>
      </c>
      <c r="B104" s="140">
        <f>IF((Q104="Viru SK"),U104,U104-1000)</f>
        <v>-880</v>
      </c>
      <c r="C104" s="141" t="str">
        <f>IF(R104&gt;0,IF(P104="t",RANK(D104,D$7:D$126,1)-COUNTBLANK(P$7:P$126),""),"")</f>
        <v/>
      </c>
      <c r="D104" s="142">
        <f>IF((P104="t"),U104,U104-1000)</f>
        <v>-880</v>
      </c>
      <c r="E104" s="143" t="str">
        <f>IF(R104&gt;0,IF(N104="m",RANK(F104,F$7:F$126,1)-COUNTBLANK(N$7:N$126),""),"")</f>
        <v/>
      </c>
      <c r="F104" s="144">
        <f>IF((N104="m"),U104,U104-1000)</f>
        <v>120</v>
      </c>
      <c r="G104" s="145" t="str">
        <f>IF(R104&gt;0,IF(M104="n",RANK(H104,H$7:H$126,1)-COUNTBLANK(M$7:M$126),""),"")</f>
        <v/>
      </c>
      <c r="H104" s="144">
        <f>IF((M104="n"),U104,U104-1000)</f>
        <v>-880</v>
      </c>
      <c r="I104" s="160" t="str">
        <f>IF(R104&gt;0,IF(O104="j",RANK(J104,J$7:J$126,1)-COUNTBLANK(O$7:O$126),""),"")</f>
        <v/>
      </c>
      <c r="J104" s="161">
        <f>IF((O104="j"),U104,U104-1000)</f>
        <v>-880</v>
      </c>
      <c r="K104" s="162" t="str">
        <f>IF(R104&gt;0,RANK(U104,U$7:U$126,1),"")</f>
        <v/>
      </c>
      <c r="L104" s="163" t="s">
        <v>296</v>
      </c>
      <c r="M104" s="164"/>
      <c r="N104" s="165" t="str">
        <f>IF(M104="","m","")</f>
        <v>m</v>
      </c>
      <c r="O104" s="166"/>
      <c r="P104" s="167"/>
      <c r="Q104" s="192" t="s">
        <v>200</v>
      </c>
      <c r="R104" s="154">
        <f>(IF(COUNT(Z104,AA104,AB104,AC104,AD104,AE104,AF104,AG104,AH104,AI104)&lt;10,SUM(Z104,AA104,AB104,AC104,AD104,AE104,AF104,AG104,AH104,AI104),SUM(LARGE((Z104,AA104,AB104,AC104,AD104,AE104,AF104,AG104,AH104,AI104),{1;2;3;4;5;6;7;8;9}))))</f>
        <v>0</v>
      </c>
      <c r="S104" s="193" t="str">
        <f>INDEX(ETAPP!B$1:B$32,MATCH(COUNTIF(BI104:BR104,1),ETAPP!A$1:A$32,0))&amp;INDEX(ETAPP!B$1:B$32,MATCH(COUNTIF(BI104:BR104,2),ETAPP!A$1:A$32,0))&amp;INDEX(ETAPP!B$1:B$32,MATCH(COUNTIF(BI104:BR104,3),ETAPP!A$1:A$32,0))&amp;INDEX(ETAPP!B$1:B$32,MATCH(COUNTIF(BI104:BR104,4),ETAPP!A$1:A$32,0))&amp;INDEX(ETAPP!B$1:B$32,MATCH(COUNTIF(BI104:BR104,5),ETAPP!A$1:A$32,0))&amp;INDEX(ETAPP!B$1:B$32,MATCH(COUNTIF(BI104:BR104,6),ETAPP!A$1:A$32,0))&amp;INDEX(ETAPP!B$1:B$32,MATCH(COUNTIF(BI104:BR104,7),ETAPP!A$1:A$32,0))&amp;INDEX(ETAPP!B$1:B$32,MATCH(COUNTIF(BI104:BR104,8),ETAPP!A$1:A$32,0))&amp;INDEX(ETAPP!B$1:B$32,MATCH(COUNTIF(BI104:BR104,9),ETAPP!A$1:A$32,0))&amp;INDEX(ETAPP!B$1:B$32,MATCH(COUNTIF(BI104:BR104,10),ETAPP!A$1:A$32,0))&amp;INDEX(ETAPP!B$1:B$32,MATCH(COUNTIF(BI104:BR104,11),ETAPP!A$1:A$32,0))&amp;INDEX(ETAPP!B$1:B$32,MATCH(COUNTIF(BI104:BR104,12),ETAPP!A$1:A$32,0))&amp;INDEX(ETAPP!B$1:B$32,MATCH(COUNTIF(BI104:BR104,13),ETAPP!A$1:A$32,0))&amp;INDEX(ETAPP!B$1:B$32,MATCH(COUNTIF(BI104:BR104,14),ETAPP!A$1:A$32,0))&amp;INDEX(ETAPP!B$1:B$32,MATCH(COUNTIF(BI104:BR104,15),ETAPP!A$1:A$32,0))&amp;INDEX(ETAPP!B$1:B$32,MATCH(COUNTIF(BI104:BR104,16),ETAPP!A$1:A$32,0))&amp;INDEX(ETAPP!B$1:B$32,MATCH(COUNTIF(BI104:BR104,17),ETAPP!A$1:A$32,0))&amp;INDEX(ETAPP!B$1:B$32,MATCH(COUNTIF(BI104:BR104,18),ETAPP!A$1:A$32,0))&amp;INDEX(ETAPP!B$1:B$32,MATCH(COUNTIF(BI104:BR104,19),ETAPP!A$1:A$32,0))&amp;INDEX(ETAPP!B$1:B$32,MATCH(COUNTIF(BI104:BR104,20),ETAPP!A$1:A$32,0))&amp;INDEX(ETAPP!B$1:B$32,MATCH(COUNTIF(BI104:BR104,21),ETAPP!A$1:A$32,0))</f>
        <v>000000000000000000000</v>
      </c>
      <c r="T104" s="193" t="str">
        <f>TEXT(R104,"000,0")&amp;"-"&amp;S104</f>
        <v>000,0-000000000000000000000</v>
      </c>
      <c r="U104" s="193">
        <f>COUNTIF(T$7:T$126,"&gt;="&amp;T104)</f>
        <v>120</v>
      </c>
      <c r="V104" s="193">
        <f>COUNTIF(L$7:L$126,"&gt;="&amp;L104)</f>
        <v>41</v>
      </c>
      <c r="W104" s="193" t="str">
        <f>TEXT(R104,"000,0")&amp;"-"&amp;S104&amp;"-"&amp;TEXT(V104,"000")</f>
        <v>000,0-000000000000000000000-041</v>
      </c>
      <c r="X104" s="193">
        <f>COUNTIF(W$7:W$126,"&gt;="&amp;W104)</f>
        <v>98</v>
      </c>
      <c r="Y104" s="201">
        <f>RANK(X104,X$7:X$126,0)</f>
        <v>23</v>
      </c>
      <c r="Z104" s="202" t="str">
        <f>IFERROR(INDEX('V1'!C$300:C$400,MATCH("*"&amp;L104&amp;"*",'V1'!B$300:B$400,0)),"  ")</f>
        <v>  </v>
      </c>
      <c r="AA104" s="202" t="str">
        <f>IFERROR(INDEX('V2'!C$300:C$400,MATCH("*"&amp;L104&amp;"*",'V2'!B$300:B$400,0)),"  ")</f>
        <v>  </v>
      </c>
      <c r="AB104" s="202" t="str">
        <f>IFERROR(INDEX('V3'!C$300:C$400,MATCH("*"&amp;L104&amp;"*",'V3'!B$300:B$400,0)),"  ")</f>
        <v>  </v>
      </c>
      <c r="AC104" s="202" t="str">
        <f>IFERROR(INDEX('V4'!C$300:C$400,MATCH("*"&amp;L104&amp;"*",'V4'!B$300:B$400,0)),"  ")</f>
        <v>  </v>
      </c>
      <c r="AD104" s="202" t="str">
        <f>IFERROR(INDEX('V5'!C$300:C$400,MATCH("*"&amp;L104&amp;"*",'V5'!B$300:B$400,0)),"  ")</f>
        <v>  </v>
      </c>
      <c r="AE104" s="202" t="str">
        <f>IFERROR(INDEX('V6'!C$300:C$400,MATCH("*"&amp;L104&amp;"*",'V6'!B$300:B$400,0)),"  ")</f>
        <v>  </v>
      </c>
      <c r="AF104" s="202" t="str">
        <f>IFERROR(INDEX('V7'!C$300:C$400,MATCH("*"&amp;L104&amp;"*",'V7'!B$300:B$400,0)),"  ")</f>
        <v>  </v>
      </c>
      <c r="AG104" s="202" t="str">
        <f>IFERROR(INDEX('V8'!C$300:C$400,MATCH("*"&amp;L104&amp;"*",'V8'!B$300:B$400,0)),"  ")</f>
        <v>  </v>
      </c>
      <c r="AH104" s="202"/>
      <c r="AI104" s="202"/>
      <c r="AJ104" s="222" t="str">
        <f>IF(AN104&gt;(AT$2-1),K104,"")</f>
        <v/>
      </c>
      <c r="AK104" s="223">
        <f>SUM(Z104:AI104)</f>
        <v>0</v>
      </c>
      <c r="AL104" s="224" t="str">
        <f>IFERROR("edasi "&amp;RANK(AJ104,AJ$7:AJ$126,1),K104)</f>
        <v/>
      </c>
      <c r="AM104" s="225" t="str">
        <f>IFERROR(INDEX(#REF!,MATCH("*"&amp;L104&amp;"*",#REF!,0)),"  ")</f>
        <v>  </v>
      </c>
      <c r="AN104" s="226">
        <f>COUNTIF(Z104:AI104,"&gt;=0")</f>
        <v>0</v>
      </c>
      <c r="AO104" s="126">
        <f>IFERROR(IF(Z104+1&gt;LARGE(Z$7:Z$126,1)-2*LEN(Z$5),1),0)+IFERROR(IF(AA104+1&gt;LARGE(AA$7:AA$126,1)-2*LEN(AA$5),1),0)+IFERROR(IF(AB104+1&gt;LARGE(AB$7:AB$126,1)-2*LEN(AB$5),1),0)+IFERROR(IF(AC104+1&gt;LARGE(AC$7:AC$126,1)-2*LEN(AC$5),1),0)+IFERROR(IF(AD104+1&gt;LARGE(AD$7:AD$126,1)-2*LEN(AD$5),1),0)+IFERROR(IF(AE104+1&gt;LARGE(AE$7:AE$126,1)-2*LEN(AE$5),1),0)+IFERROR(IF(AF104+1&gt;LARGE(AF$7:AF$126,1)-2*LEN(AF$5),1),0)+IFERROR(IF(AG104+1&gt;LARGE(AG$7:AG$126,1)-2*LEN(AG$5),1),0)+IFERROR(IF(AH104+1&gt;LARGE(AH$7:AH$126,1)-2*LEN(AH$5),1),0)+IFERROR(IF(AI104+1&gt;LARGE(AI$7:AI$126,1)-2*LEN(AI$5),1),0)</f>
        <v>0</v>
      </c>
      <c r="AP104" s="126">
        <f>IF(Z104=0,0,IF(Z104=IFERROR(LARGE(Z$7:Z$126,1),0),1,0))+IF(AA104=0,0,IF(AA104=IFERROR(LARGE(AA$7:AA$126,1),0),1,0))+IF(AB104=0,0,IF(AB104=IFERROR(LARGE(AB$7:AB$126,1),0),1,0))+IF(AC104=0,0,IF(AC104=IFERROR(LARGE(AC$7:AC$126,1),0),1,0))+IF(AD104=0,0,IF(AD104=IFERROR(LARGE(AD$7:AD$126,1),0),1,0))+IF(AE104=0,0,IF(AE104=IFERROR(LARGE(AE$7:AE$126,1),0),1,0))+IF(AF104=0,0,IF(AF104=IFERROR(LARGE(AF$7:AF$126,1),0),1,0))+IF(AG104=0,0,IF(AG104=IFERROR(LARGE(AG$7:AG$126,1),0),1,0))+IF(AH104=0,0,IF(AH104=IFERROR(LARGE(AH$7:AH$126,1),0),1,0))+IF(AI104=0,0,IF(AI104=IFERROR(LARGE(AI$7:AI$126,1),0),1,0))</f>
        <v>0</v>
      </c>
      <c r="AQ104" s="233"/>
      <c r="AR104" s="233"/>
      <c r="AS104" s="233"/>
      <c r="AT104" s="234">
        <f>SMALL(AU104:BD104,AT$3)</f>
        <v>0.0001</v>
      </c>
      <c r="AU104" s="235">
        <f>IF(Z104="  ",0+MID(Z$6,FIND("V",Z$6)+1,256)/10000,Z104+MID(Z$6,FIND("V",Z$6)+1,256)/10000)</f>
        <v>0.0001</v>
      </c>
      <c r="AV104" s="235">
        <f>IF(AA104="  ",0+MID(AA$6,FIND("V",AA$6)+1,256)/10000,AA104+MID(AA$6,FIND("V",AA$6)+1,256)/10000)</f>
        <v>0.0002</v>
      </c>
      <c r="AW104" s="235">
        <f>IF(AB104="  ",0+MID(AB$6,FIND("V",AB$6)+1,256)/10000,AB104+MID(AB$6,FIND("V",AB$6)+1,256)/10000)</f>
        <v>0.0003</v>
      </c>
      <c r="AX104" s="235">
        <f>IF(AC104="  ",0+MID(AC$6,FIND("V",AC$6)+1,256)/10000,AC104+MID(AC$6,FIND("V",AC$6)+1,256)/10000)</f>
        <v>0.0004</v>
      </c>
      <c r="AY104" s="235">
        <f>IF(AD104="  ",0+MID(AD$6,FIND("V",AD$6)+1,256)/10000,AD104+MID(AD$6,FIND("V",AD$6)+1,256)/10000)</f>
        <v>0.0005</v>
      </c>
      <c r="AZ104" s="235">
        <f>IF(AE104="  ",0+MID(AE$6,FIND("V",AE$6)+1,256)/10000,AE104+MID(AE$6,FIND("V",AE$6)+1,256)/10000)</f>
        <v>0.0006</v>
      </c>
      <c r="BA104" s="235">
        <f>IF(AF104="  ",0+MID(AF$6,FIND("V",AF$6)+1,256)/10000,AF104+MID(AF$6,FIND("V",AF$6)+1,256)/10000)</f>
        <v>0.0007</v>
      </c>
      <c r="BB104" s="235">
        <f>IF(AG104="  ",0+MID(AG$6,FIND("V",AG$6)+1,256)/10000,AG104+MID(AG$6,FIND("V",AG$6)+1,256)/10000)</f>
        <v>0.0008</v>
      </c>
      <c r="BC104" s="235">
        <f>IF(AH104="  ",0+MID(AH$6,FIND("V",AH$6)+1,256)/10000,AH104+MID(AH$6,FIND("V",AH$6)+1,256)/10000)</f>
        <v>0.0009</v>
      </c>
      <c r="BD104" s="235">
        <f>IF(AI104="  ",0+MID(AI$6,FIND("V",AI$6)+1,256)/10000,AI104+MID(AI$6,FIND("V",AI$6)+1,256)/10000)</f>
        <v>0.001</v>
      </c>
      <c r="BE104" s="233"/>
      <c r="BF104" s="233"/>
      <c r="BG104" s="233"/>
      <c r="BH104" s="233"/>
      <c r="BI104" s="3" t="e">
        <f>(LARGE(Z$7:Z$126,1)-Z104)/2+1</f>
        <v>#VALUE!</v>
      </c>
      <c r="BJ104" s="3" t="e">
        <f>(LARGE(AA$7:AA$126,1)-AA104)/2+1</f>
        <v>#VALUE!</v>
      </c>
      <c r="BK104" s="3" t="e">
        <f>(LARGE(AB$7:AB$126,1)-AB104)/2+1</f>
        <v>#VALUE!</v>
      </c>
      <c r="BL104" s="3" t="e">
        <f>(LARGE(AC$7:AC$126,1)-AC104)/2+1</f>
        <v>#VALUE!</v>
      </c>
      <c r="BM104" s="3" t="e">
        <f>(LARGE(AD$7:AD$126,1)-AD104)/2+1</f>
        <v>#VALUE!</v>
      </c>
      <c r="BN104" s="3" t="e">
        <f>(LARGE(AE$7:AE$126,1)-AE104)/2+1</f>
        <v>#VALUE!</v>
      </c>
      <c r="BO104" s="3" t="e">
        <f>(LARGE(AF$7:AF$126,1)-AF104)/2+1</f>
        <v>#VALUE!</v>
      </c>
      <c r="BP104" s="3" t="e">
        <f>(LARGE(AG$7:AG$126,1)-AG104)/2+1</f>
        <v>#VALUE!</v>
      </c>
      <c r="BQ104" s="3" t="e">
        <f>(LARGE(AH$7:AH$126,1)-AH104)/2+1</f>
        <v>#NUM!</v>
      </c>
      <c r="BR104" s="3" t="e">
        <f>(LARGE(AI$7:AI$126,1)-AI104)/2+1</f>
        <v>#NUM!</v>
      </c>
    </row>
    <row r="105" ht="12.75" hidden="1" customHeight="1" spans="1:70">
      <c r="A105" s="139" t="str">
        <f>IF(R105&gt;0,IF(Q105="Viru SK",RANK(B105,B$7:B$126,1)-COUNTIF((Q$7:Q$126),"&lt;&gt;Viru SK"),""),"")</f>
        <v/>
      </c>
      <c r="B105" s="140">
        <f>IF((Q105="Viru SK"),U105,U105-1000)</f>
        <v>-880</v>
      </c>
      <c r="C105" s="141" t="str">
        <f>IF(R105&gt;0,IF(P105="t",RANK(D105,D$7:D$126,1)-COUNTBLANK(P$7:P$126),""),"")</f>
        <v/>
      </c>
      <c r="D105" s="142">
        <f>IF((P105="t"),U105,U105-1000)</f>
        <v>-880</v>
      </c>
      <c r="E105" s="143" t="str">
        <f>IF(R105&gt;0,IF(N105="m",RANK(F105,F$7:F$126,1)-COUNTBLANK(N$7:N$126),""),"")</f>
        <v/>
      </c>
      <c r="F105" s="144">
        <f>IF((N105="m"),U105,U105-1000)</f>
        <v>120</v>
      </c>
      <c r="G105" s="145" t="str">
        <f>IF(R105&gt;0,IF(M105="n",RANK(H105,H$7:H$126,1)-COUNTBLANK(M$7:M$126),""),"")</f>
        <v/>
      </c>
      <c r="H105" s="144">
        <f>IF((M105="n"),U105,U105-1000)</f>
        <v>-880</v>
      </c>
      <c r="I105" s="160" t="str">
        <f>IF(R105&gt;0,IF(O105="j",RANK(J105,J$7:J$126,1)-COUNTBLANK(O$7:O$126),""),"")</f>
        <v/>
      </c>
      <c r="J105" s="161">
        <f>IF((O105="j"),U105,U105-1000)</f>
        <v>120</v>
      </c>
      <c r="K105" s="162" t="str">
        <f>IF(R105&gt;0,RANK(U105,U$7:U$126,1),"")</f>
        <v/>
      </c>
      <c r="L105" s="242" t="s">
        <v>297</v>
      </c>
      <c r="M105" s="164"/>
      <c r="N105" s="165" t="s">
        <v>193</v>
      </c>
      <c r="O105" s="166" t="s">
        <v>251</v>
      </c>
      <c r="P105" s="167"/>
      <c r="Q105" s="192"/>
      <c r="R105" s="154">
        <f>(IF(COUNT(Z105,AA105,AB105,AC105,AD105,AE105,AF105,AG105,AH105,AI105)&lt;10,SUM(Z105,AA105,AB105,AC105,AD105,AE105,AF105,AG105,AH105,AI105),SUM(LARGE((Z105,AA105,AB105,AC105,AD105,AE105,AF105,AG105,AH105,AI105),{1;2;3;4;5;6;7;8;9}))))</f>
        <v>0</v>
      </c>
      <c r="S105" s="193" t="str">
        <f>INDEX(ETAPP!B$1:B$32,MATCH(COUNTIF(BI105:BR105,1),ETAPP!A$1:A$32,0))&amp;INDEX(ETAPP!B$1:B$32,MATCH(COUNTIF(BI105:BR105,2),ETAPP!A$1:A$32,0))&amp;INDEX(ETAPP!B$1:B$32,MATCH(COUNTIF(BI105:BR105,3),ETAPP!A$1:A$32,0))&amp;INDEX(ETAPP!B$1:B$32,MATCH(COUNTIF(BI105:BR105,4),ETAPP!A$1:A$32,0))&amp;INDEX(ETAPP!B$1:B$32,MATCH(COUNTIF(BI105:BR105,5),ETAPP!A$1:A$32,0))&amp;INDEX(ETAPP!B$1:B$32,MATCH(COUNTIF(BI105:BR105,6),ETAPP!A$1:A$32,0))&amp;INDEX(ETAPP!B$1:B$32,MATCH(COUNTIF(BI105:BR105,7),ETAPP!A$1:A$32,0))&amp;INDEX(ETAPP!B$1:B$32,MATCH(COUNTIF(BI105:BR105,8),ETAPP!A$1:A$32,0))&amp;INDEX(ETAPP!B$1:B$32,MATCH(COUNTIF(BI105:BR105,9),ETAPP!A$1:A$32,0))&amp;INDEX(ETAPP!B$1:B$32,MATCH(COUNTIF(BI105:BR105,10),ETAPP!A$1:A$32,0))&amp;INDEX(ETAPP!B$1:B$32,MATCH(COUNTIF(BI105:BR105,11),ETAPP!A$1:A$32,0))&amp;INDEX(ETAPP!B$1:B$32,MATCH(COUNTIF(BI105:BR105,12),ETAPP!A$1:A$32,0))&amp;INDEX(ETAPP!B$1:B$32,MATCH(COUNTIF(BI105:BR105,13),ETAPP!A$1:A$32,0))&amp;INDEX(ETAPP!B$1:B$32,MATCH(COUNTIF(BI105:BR105,14),ETAPP!A$1:A$32,0))&amp;INDEX(ETAPP!B$1:B$32,MATCH(COUNTIF(BI105:BR105,15),ETAPP!A$1:A$32,0))&amp;INDEX(ETAPP!B$1:B$32,MATCH(COUNTIF(BI105:BR105,16),ETAPP!A$1:A$32,0))&amp;INDEX(ETAPP!B$1:B$32,MATCH(COUNTIF(BI105:BR105,17),ETAPP!A$1:A$32,0))&amp;INDEX(ETAPP!B$1:B$32,MATCH(COUNTIF(BI105:BR105,18),ETAPP!A$1:A$32,0))&amp;INDEX(ETAPP!B$1:B$32,MATCH(COUNTIF(BI105:BR105,19),ETAPP!A$1:A$32,0))&amp;INDEX(ETAPP!B$1:B$32,MATCH(COUNTIF(BI105:BR105,20),ETAPP!A$1:A$32,0))&amp;INDEX(ETAPP!B$1:B$32,MATCH(COUNTIF(BI105:BR105,21),ETAPP!A$1:A$32,0))</f>
        <v>000000000000000000000</v>
      </c>
      <c r="T105" s="193" t="str">
        <f>TEXT(R105,"000,0")&amp;"-"&amp;S105</f>
        <v>000,0-000000000000000000000</v>
      </c>
      <c r="U105" s="193">
        <f>COUNTIF(T$7:T$126,"&gt;="&amp;T105)</f>
        <v>120</v>
      </c>
      <c r="V105" s="193">
        <f>COUNTIF(L$7:L$126,"&gt;="&amp;L105)</f>
        <v>40</v>
      </c>
      <c r="W105" s="193" t="str">
        <f>TEXT(R105,"000,0")&amp;"-"&amp;S105&amp;"-"&amp;TEXT(V105,"000")</f>
        <v>000,0-000000000000000000000-040</v>
      </c>
      <c r="X105" s="193">
        <f>COUNTIF(W$7:W$126,"&gt;="&amp;W105)</f>
        <v>99</v>
      </c>
      <c r="Y105" s="201">
        <f>RANK(X105,X$7:X$126,0)</f>
        <v>22</v>
      </c>
      <c r="Z105" s="202" t="str">
        <f>IFERROR(INDEX('V1'!C$300:C$400,MATCH("*"&amp;L105&amp;"*",'V1'!B$300:B$400,0)),"  ")</f>
        <v>  </v>
      </c>
      <c r="AA105" s="202" t="str">
        <f>IFERROR(INDEX('V2'!C$300:C$400,MATCH("*"&amp;L105&amp;"*",'V2'!B$300:B$400,0)),"  ")</f>
        <v>  </v>
      </c>
      <c r="AB105" s="202" t="str">
        <f>IFERROR(INDEX('V3'!C$300:C$400,MATCH("*"&amp;L105&amp;"*",'V3'!B$300:B$400,0)),"  ")</f>
        <v>  </v>
      </c>
      <c r="AC105" s="202" t="str">
        <f>IFERROR(INDEX('V4'!C$300:C$400,MATCH("*"&amp;L105&amp;"*",'V4'!B$300:B$400,0)),"  ")</f>
        <v>  </v>
      </c>
      <c r="AD105" s="202" t="str">
        <f>IFERROR(INDEX('V5'!C$300:C$400,MATCH("*"&amp;L105&amp;"*",'V5'!B$300:B$400,0)),"  ")</f>
        <v>  </v>
      </c>
      <c r="AE105" s="202" t="str">
        <f>IFERROR(INDEX('V6'!C$300:C$400,MATCH("*"&amp;L105&amp;"*",'V6'!B$300:B$400,0)),"  ")</f>
        <v>  </v>
      </c>
      <c r="AF105" s="202" t="str">
        <f>IFERROR(INDEX('V7'!C$300:C$400,MATCH("*"&amp;L105&amp;"*",'V7'!B$300:B$400,0)),"  ")</f>
        <v>  </v>
      </c>
      <c r="AG105" s="202" t="str">
        <f>IFERROR(INDEX('V8'!C$300:C$400,MATCH("*"&amp;L105&amp;"*",'V8'!B$300:B$400,0)),"  ")</f>
        <v>  </v>
      </c>
      <c r="AH105" s="202"/>
      <c r="AI105" s="202"/>
      <c r="AJ105" s="222" t="str">
        <f>IF(AN105&gt;(AT$2-1),K105,"")</f>
        <v/>
      </c>
      <c r="AK105" s="223">
        <f>SUM(Z105:AI105)</f>
        <v>0</v>
      </c>
      <c r="AL105" s="224" t="str">
        <f>IFERROR("edasi "&amp;RANK(AJ105,AJ$7:AJ$126,1),K105)</f>
        <v/>
      </c>
      <c r="AM105" s="225" t="str">
        <f>IFERROR(INDEX(#REF!,MATCH("*"&amp;L105&amp;"*",#REF!,0)),"  ")</f>
        <v>  </v>
      </c>
      <c r="AN105" s="226">
        <f>COUNTIF(Z105:AI105,"&gt;=0")</f>
        <v>0</v>
      </c>
      <c r="AO105" s="126">
        <f>IFERROR(IF(Z105+1&gt;LARGE(Z$7:Z$126,1)-2*LEN(Z$5),1),0)+IFERROR(IF(AA105+1&gt;LARGE(AA$7:AA$126,1)-2*LEN(AA$5),1),0)+IFERROR(IF(AB105+1&gt;LARGE(AB$7:AB$126,1)-2*LEN(AB$5),1),0)+IFERROR(IF(AC105+1&gt;LARGE(AC$7:AC$126,1)-2*LEN(AC$5),1),0)+IFERROR(IF(AD105+1&gt;LARGE(AD$7:AD$126,1)-2*LEN(AD$5),1),0)+IFERROR(IF(AE105+1&gt;LARGE(AE$7:AE$126,1)-2*LEN(AE$5),1),0)+IFERROR(IF(AF105+1&gt;LARGE(AF$7:AF$126,1)-2*LEN(AF$5),1),0)+IFERROR(IF(AG105+1&gt;LARGE(AG$7:AG$126,1)-2*LEN(AG$5),1),0)+IFERROR(IF(AH105+1&gt;LARGE(AH$7:AH$126,1)-2*LEN(AH$5),1),0)+IFERROR(IF(AI105+1&gt;LARGE(AI$7:AI$126,1)-2*LEN(AI$5),1),0)</f>
        <v>0</v>
      </c>
      <c r="AP105" s="126">
        <f>IF(Z105=0,0,IF(Z105=IFERROR(LARGE(Z$7:Z$126,1),0),1,0))+IF(AA105=0,0,IF(AA105=IFERROR(LARGE(AA$7:AA$126,1),0),1,0))+IF(AB105=0,0,IF(AB105=IFERROR(LARGE(AB$7:AB$126,1),0),1,0))+IF(AC105=0,0,IF(AC105=IFERROR(LARGE(AC$7:AC$126,1),0),1,0))+IF(AD105=0,0,IF(AD105=IFERROR(LARGE(AD$7:AD$126,1),0),1,0))+IF(AE105=0,0,IF(AE105=IFERROR(LARGE(AE$7:AE$126,1),0),1,0))+IF(AF105=0,0,IF(AF105=IFERROR(LARGE(AF$7:AF$126,1),0),1,0))+IF(AG105=0,0,IF(AG105=IFERROR(LARGE(AG$7:AG$126,1),0),1,0))+IF(AH105=0,0,IF(AH105=IFERROR(LARGE(AH$7:AH$126,1),0),1,0))+IF(AI105=0,0,IF(AI105=IFERROR(LARGE(AI$7:AI$126,1),0),1,0))</f>
        <v>0</v>
      </c>
      <c r="AQ105" s="233"/>
      <c r="AR105" s="233"/>
      <c r="AS105" s="233"/>
      <c r="AT105" s="234">
        <f>SMALL(AU105:BD105,AT$3)</f>
        <v>0.0001</v>
      </c>
      <c r="AU105" s="235">
        <f>IF(Z105="  ",0+MID(Z$6,FIND("V",Z$6)+1,256)/10000,Z105+MID(Z$6,FIND("V",Z$6)+1,256)/10000)</f>
        <v>0.0001</v>
      </c>
      <c r="AV105" s="235">
        <f>IF(AA105="  ",0+MID(AA$6,FIND("V",AA$6)+1,256)/10000,AA105+MID(AA$6,FIND("V",AA$6)+1,256)/10000)</f>
        <v>0.0002</v>
      </c>
      <c r="AW105" s="235">
        <f>IF(AB105="  ",0+MID(AB$6,FIND("V",AB$6)+1,256)/10000,AB105+MID(AB$6,FIND("V",AB$6)+1,256)/10000)</f>
        <v>0.0003</v>
      </c>
      <c r="AX105" s="235">
        <f>IF(AC105="  ",0+MID(AC$6,FIND("V",AC$6)+1,256)/10000,AC105+MID(AC$6,FIND("V",AC$6)+1,256)/10000)</f>
        <v>0.0004</v>
      </c>
      <c r="AY105" s="235">
        <f>IF(AD105="  ",0+MID(AD$6,FIND("V",AD$6)+1,256)/10000,AD105+MID(AD$6,FIND("V",AD$6)+1,256)/10000)</f>
        <v>0.0005</v>
      </c>
      <c r="AZ105" s="235">
        <f>IF(AE105="  ",0+MID(AE$6,FIND("V",AE$6)+1,256)/10000,AE105+MID(AE$6,FIND("V",AE$6)+1,256)/10000)</f>
        <v>0.0006</v>
      </c>
      <c r="BA105" s="235">
        <f>IF(AF105="  ",0+MID(AF$6,FIND("V",AF$6)+1,256)/10000,AF105+MID(AF$6,FIND("V",AF$6)+1,256)/10000)</f>
        <v>0.0007</v>
      </c>
      <c r="BB105" s="235">
        <f>IF(AG105="  ",0+MID(AG$6,FIND("V",AG$6)+1,256)/10000,AG105+MID(AG$6,FIND("V",AG$6)+1,256)/10000)</f>
        <v>0.0008</v>
      </c>
      <c r="BC105" s="235">
        <f>IF(AH105="  ",0+MID(AH$6,FIND("V",AH$6)+1,256)/10000,AH105+MID(AH$6,FIND("V",AH$6)+1,256)/10000)</f>
        <v>0.0009</v>
      </c>
      <c r="BD105" s="235">
        <f>IF(AI105="  ",0+MID(AI$6,FIND("V",AI$6)+1,256)/10000,AI105+MID(AI$6,FIND("V",AI$6)+1,256)/10000)</f>
        <v>0.001</v>
      </c>
      <c r="BE105" s="233"/>
      <c r="BF105" s="233"/>
      <c r="BG105" s="233"/>
      <c r="BH105" s="233"/>
      <c r="BI105" s="3" t="e">
        <f>(LARGE(Z$7:Z$126,1)-Z105)/2+1</f>
        <v>#VALUE!</v>
      </c>
      <c r="BJ105" s="3" t="e">
        <f>(LARGE(AA$7:AA$126,1)-AA105)/2+1</f>
        <v>#VALUE!</v>
      </c>
      <c r="BK105" s="3" t="e">
        <f>(LARGE(AB$7:AB$126,1)-AB105)/2+1</f>
        <v>#VALUE!</v>
      </c>
      <c r="BL105" s="3" t="e">
        <f>(LARGE(AC$7:AC$126,1)-AC105)/2+1</f>
        <v>#VALUE!</v>
      </c>
      <c r="BM105" s="3" t="e">
        <f>(LARGE(AD$7:AD$126,1)-AD105)/2+1</f>
        <v>#VALUE!</v>
      </c>
      <c r="BN105" s="3" t="e">
        <f>(LARGE(AE$7:AE$126,1)-AE105)/2+1</f>
        <v>#VALUE!</v>
      </c>
      <c r="BO105" s="3" t="e">
        <f>(LARGE(AF$7:AF$126,1)-AF105)/2+1</f>
        <v>#VALUE!</v>
      </c>
      <c r="BP105" s="3" t="e">
        <f>(LARGE(AG$7:AG$126,1)-AG105)/2+1</f>
        <v>#VALUE!</v>
      </c>
      <c r="BQ105" s="3" t="e">
        <f>(LARGE(AH$7:AH$126,1)-AH105)/2+1</f>
        <v>#NUM!</v>
      </c>
      <c r="BR105" s="3" t="e">
        <f>(LARGE(AI$7:AI$126,1)-AI105)/2+1</f>
        <v>#NUM!</v>
      </c>
    </row>
    <row r="106" ht="12.75" hidden="1" customHeight="1" spans="1:70">
      <c r="A106" s="139" t="str">
        <f>IF(R106&gt;0,IF(Q106="Viru SK",RANK(B106,B$7:B$126,1)-COUNTIF((Q$7:Q$126),"&lt;&gt;Viru SK"),""),"")</f>
        <v/>
      </c>
      <c r="B106" s="140">
        <f>IF((Q106="Viru SK"),U106,U106-1000)</f>
        <v>-880</v>
      </c>
      <c r="C106" s="141" t="str">
        <f>IF(R106&gt;0,IF(P106="t",RANK(D106,D$7:D$126,1)-COUNTBLANK(P$7:P$126),""),"")</f>
        <v/>
      </c>
      <c r="D106" s="142">
        <f>IF((P106="t"),U106,U106-1000)</f>
        <v>-880</v>
      </c>
      <c r="E106" s="143" t="str">
        <f>IF(R106&gt;0,IF(N106="m",RANK(F106,F$7:F$126,1)-COUNTBLANK(N$7:N$126),""),"")</f>
        <v/>
      </c>
      <c r="F106" s="144">
        <f>IF((N106="m"),U106,U106-1000)</f>
        <v>120</v>
      </c>
      <c r="G106" s="145" t="str">
        <f>IF(R106&gt;0,IF(M106="n",RANK(H106,H$7:H$126,1)-COUNTBLANK(M$7:M$126),""),"")</f>
        <v/>
      </c>
      <c r="H106" s="144">
        <f>IF((M106="n"),U106,U106-1000)</f>
        <v>-880</v>
      </c>
      <c r="I106" s="160" t="str">
        <f>IF(R106&gt;0,IF(O106="j",RANK(J106,J$7:J$126,1)-COUNTBLANK(O$7:O$126),""),"")</f>
        <v/>
      </c>
      <c r="J106" s="161">
        <f>IF((O106="j"),U106,U106-1000)</f>
        <v>-880</v>
      </c>
      <c r="K106" s="162" t="str">
        <f>IF(R106&gt;0,RANK(U106,U$7:U$126,1),"")</f>
        <v/>
      </c>
      <c r="L106" s="163" t="s">
        <v>298</v>
      </c>
      <c r="M106" s="164"/>
      <c r="N106" s="165" t="s">
        <v>193</v>
      </c>
      <c r="O106" s="166"/>
      <c r="P106" s="167"/>
      <c r="Q106" s="192" t="s">
        <v>299</v>
      </c>
      <c r="R106" s="154">
        <f>(IF(COUNT(Z106,AA106,AB106,AC106,AD106,AE106,AF106,AG106,AH106,AI106)&lt;10,SUM(Z106,AA106,AB106,AC106,AD106,AE106,AF106,AG106,AH106,AI106),SUM(LARGE((Z106,AA106,AB106,AC106,AD106,AE106,AF106,AG106,AH106,AI106),{1;2;3;4;5;6;7;8;9}))))</f>
        <v>0</v>
      </c>
      <c r="S106" s="193" t="str">
        <f>INDEX(ETAPP!B$1:B$32,MATCH(COUNTIF(BI106:BR106,1),ETAPP!A$1:A$32,0))&amp;INDEX(ETAPP!B$1:B$32,MATCH(COUNTIF(BI106:BR106,2),ETAPP!A$1:A$32,0))&amp;INDEX(ETAPP!B$1:B$32,MATCH(COUNTIF(BI106:BR106,3),ETAPP!A$1:A$32,0))&amp;INDEX(ETAPP!B$1:B$32,MATCH(COUNTIF(BI106:BR106,4),ETAPP!A$1:A$32,0))&amp;INDEX(ETAPP!B$1:B$32,MATCH(COUNTIF(BI106:BR106,5),ETAPP!A$1:A$32,0))&amp;INDEX(ETAPP!B$1:B$32,MATCH(COUNTIF(BI106:BR106,6),ETAPP!A$1:A$32,0))&amp;INDEX(ETAPP!B$1:B$32,MATCH(COUNTIF(BI106:BR106,7),ETAPP!A$1:A$32,0))&amp;INDEX(ETAPP!B$1:B$32,MATCH(COUNTIF(BI106:BR106,8),ETAPP!A$1:A$32,0))&amp;INDEX(ETAPP!B$1:B$32,MATCH(COUNTIF(BI106:BR106,9),ETAPP!A$1:A$32,0))&amp;INDEX(ETAPP!B$1:B$32,MATCH(COUNTIF(BI106:BR106,10),ETAPP!A$1:A$32,0))&amp;INDEX(ETAPP!B$1:B$32,MATCH(COUNTIF(BI106:BR106,11),ETAPP!A$1:A$32,0))&amp;INDEX(ETAPP!B$1:B$32,MATCH(COUNTIF(BI106:BR106,12),ETAPP!A$1:A$32,0))&amp;INDEX(ETAPP!B$1:B$32,MATCH(COUNTIF(BI106:BR106,13),ETAPP!A$1:A$32,0))&amp;INDEX(ETAPP!B$1:B$32,MATCH(COUNTIF(BI106:BR106,14),ETAPP!A$1:A$32,0))&amp;INDEX(ETAPP!B$1:B$32,MATCH(COUNTIF(BI106:BR106,15),ETAPP!A$1:A$32,0))&amp;INDEX(ETAPP!B$1:B$32,MATCH(COUNTIF(BI106:BR106,16),ETAPP!A$1:A$32,0))&amp;INDEX(ETAPP!B$1:B$32,MATCH(COUNTIF(BI106:BR106,17),ETAPP!A$1:A$32,0))&amp;INDEX(ETAPP!B$1:B$32,MATCH(COUNTIF(BI106:BR106,18),ETAPP!A$1:A$32,0))&amp;INDEX(ETAPP!B$1:B$32,MATCH(COUNTIF(BI106:BR106,19),ETAPP!A$1:A$32,0))&amp;INDEX(ETAPP!B$1:B$32,MATCH(COUNTIF(BI106:BR106,20),ETAPP!A$1:A$32,0))&amp;INDEX(ETAPP!B$1:B$32,MATCH(COUNTIF(BI106:BR106,21),ETAPP!A$1:A$32,0))</f>
        <v>000000000000000000000</v>
      </c>
      <c r="T106" s="193" t="str">
        <f>TEXT(R106,"000,0")&amp;"-"&amp;S106</f>
        <v>000,0-000000000000000000000</v>
      </c>
      <c r="U106" s="193">
        <f>COUNTIF(T$7:T$126,"&gt;="&amp;T106)</f>
        <v>120</v>
      </c>
      <c r="V106" s="193">
        <f>COUNTIF(L$7:L$126,"&gt;="&amp;L106)</f>
        <v>38</v>
      </c>
      <c r="W106" s="193" t="str">
        <f>TEXT(R106,"000,0")&amp;"-"&amp;S106&amp;"-"&amp;TEXT(V106,"000")</f>
        <v>000,0-000000000000000000000-038</v>
      </c>
      <c r="X106" s="193">
        <f>COUNTIF(W$7:W$126,"&gt;="&amp;W106)</f>
        <v>100</v>
      </c>
      <c r="Y106" s="201">
        <f>RANK(X106,X$7:X$126,0)</f>
        <v>21</v>
      </c>
      <c r="Z106" s="202" t="str">
        <f>IFERROR(INDEX('V1'!C$300:C$400,MATCH("*"&amp;L106&amp;"*",'V1'!B$300:B$400,0)),"  ")</f>
        <v>  </v>
      </c>
      <c r="AA106" s="202" t="str">
        <f>IFERROR(INDEX('V2'!C$300:C$400,MATCH("*"&amp;L106&amp;"*",'V2'!B$300:B$400,0)),"  ")</f>
        <v>  </v>
      </c>
      <c r="AB106" s="202" t="str">
        <f>IFERROR(INDEX('V3'!C$300:C$400,MATCH("*"&amp;L106&amp;"*",'V3'!B$300:B$400,0)),"  ")</f>
        <v>  </v>
      </c>
      <c r="AC106" s="202" t="str">
        <f>IFERROR(INDEX('V4'!C$300:C$400,MATCH("*"&amp;L106&amp;"*",'V4'!B$300:B$400,0)),"  ")</f>
        <v>  </v>
      </c>
      <c r="AD106" s="202" t="str">
        <f>IFERROR(INDEX('V5'!C$300:C$400,MATCH("*"&amp;L106&amp;"*",'V5'!B$300:B$400,0)),"  ")</f>
        <v>  </v>
      </c>
      <c r="AE106" s="202" t="str">
        <f>IFERROR(INDEX('V6'!C$300:C$400,MATCH("*"&amp;L106&amp;"*",'V6'!B$300:B$400,0)),"  ")</f>
        <v>  </v>
      </c>
      <c r="AF106" s="202" t="str">
        <f>IFERROR(INDEX('V7'!C$300:C$400,MATCH("*"&amp;L106&amp;"*",'V7'!B$300:B$400,0)),"  ")</f>
        <v>  </v>
      </c>
      <c r="AG106" s="202" t="str">
        <f>IFERROR(INDEX('V8'!C$300:C$400,MATCH("*"&amp;L106&amp;"*",'V8'!B$300:B$400,0)),"  ")</f>
        <v>  </v>
      </c>
      <c r="AH106" s="202"/>
      <c r="AI106" s="202"/>
      <c r="AJ106" s="222" t="str">
        <f>IF(AN106&gt;(AT$2-1),K106,"")</f>
        <v/>
      </c>
      <c r="AK106" s="223">
        <f>SUM(Z106:AI106)</f>
        <v>0</v>
      </c>
      <c r="AL106" s="224" t="str">
        <f>IFERROR("edasi "&amp;RANK(AJ106,AJ$7:AJ$126,1),K106)</f>
        <v/>
      </c>
      <c r="AM106" s="225" t="str">
        <f>IFERROR(INDEX(#REF!,MATCH("*"&amp;L106&amp;"*",#REF!,0)),"  ")</f>
        <v>  </v>
      </c>
      <c r="AN106" s="226">
        <f>COUNTIF(Z106:AI106,"&gt;=0")</f>
        <v>0</v>
      </c>
      <c r="AO106" s="126">
        <f>IFERROR(IF(Z106+1&gt;LARGE(Z$7:Z$126,1)-2*LEN(Z$5),1),0)+IFERROR(IF(AA106+1&gt;LARGE(AA$7:AA$126,1)-2*LEN(AA$5),1),0)+IFERROR(IF(AB106+1&gt;LARGE(AB$7:AB$126,1)-2*LEN(AB$5),1),0)+IFERROR(IF(AC106+1&gt;LARGE(AC$7:AC$126,1)-2*LEN(AC$5),1),0)+IFERROR(IF(AD106+1&gt;LARGE(AD$7:AD$126,1)-2*LEN(AD$5),1),0)+IFERROR(IF(AE106+1&gt;LARGE(AE$7:AE$126,1)-2*LEN(AE$5),1),0)+IFERROR(IF(AF106+1&gt;LARGE(AF$7:AF$126,1)-2*LEN(AF$5),1),0)+IFERROR(IF(AG106+1&gt;LARGE(AG$7:AG$126,1)-2*LEN(AG$5),1),0)+IFERROR(IF(AH106+1&gt;LARGE(AH$7:AH$126,1)-2*LEN(AH$5),1),0)+IFERROR(IF(AI106+1&gt;LARGE(AI$7:AI$126,1)-2*LEN(AI$5),1),0)</f>
        <v>0</v>
      </c>
      <c r="AP106" s="126">
        <f>IF(Z106=0,0,IF(Z106=IFERROR(LARGE(Z$7:Z$126,1),0),1,0))+IF(AA106=0,0,IF(AA106=IFERROR(LARGE(AA$7:AA$126,1),0),1,0))+IF(AB106=0,0,IF(AB106=IFERROR(LARGE(AB$7:AB$126,1),0),1,0))+IF(AC106=0,0,IF(AC106=IFERROR(LARGE(AC$7:AC$126,1),0),1,0))+IF(AD106=0,0,IF(AD106=IFERROR(LARGE(AD$7:AD$126,1),0),1,0))+IF(AE106=0,0,IF(AE106=IFERROR(LARGE(AE$7:AE$126,1),0),1,0))+IF(AF106=0,0,IF(AF106=IFERROR(LARGE(AF$7:AF$126,1),0),1,0))+IF(AG106=0,0,IF(AG106=IFERROR(LARGE(AG$7:AG$126,1),0),1,0))+IF(AH106=0,0,IF(AH106=IFERROR(LARGE(AH$7:AH$126,1),0),1,0))+IF(AI106=0,0,IF(AI106=IFERROR(LARGE(AI$7:AI$126,1),0),1,0))</f>
        <v>0</v>
      </c>
      <c r="AQ106" s="233"/>
      <c r="AR106" s="233"/>
      <c r="AS106" s="233"/>
      <c r="AT106" s="234">
        <f>SMALL(AU106:BD106,AT$3)</f>
        <v>0.0001</v>
      </c>
      <c r="AU106" s="235">
        <f>IF(Z106="  ",0+MID(Z$6,FIND("V",Z$6)+1,256)/10000,Z106+MID(Z$6,FIND("V",Z$6)+1,256)/10000)</f>
        <v>0.0001</v>
      </c>
      <c r="AV106" s="235">
        <f>IF(AA106="  ",0+MID(AA$6,FIND("V",AA$6)+1,256)/10000,AA106+MID(AA$6,FIND("V",AA$6)+1,256)/10000)</f>
        <v>0.0002</v>
      </c>
      <c r="AW106" s="235">
        <f>IF(AB106="  ",0+MID(AB$6,FIND("V",AB$6)+1,256)/10000,AB106+MID(AB$6,FIND("V",AB$6)+1,256)/10000)</f>
        <v>0.0003</v>
      </c>
      <c r="AX106" s="235">
        <f>IF(AC106="  ",0+MID(AC$6,FIND("V",AC$6)+1,256)/10000,AC106+MID(AC$6,FIND("V",AC$6)+1,256)/10000)</f>
        <v>0.0004</v>
      </c>
      <c r="AY106" s="235">
        <f>IF(AD106="  ",0+MID(AD$6,FIND("V",AD$6)+1,256)/10000,AD106+MID(AD$6,FIND("V",AD$6)+1,256)/10000)</f>
        <v>0.0005</v>
      </c>
      <c r="AZ106" s="235">
        <f>IF(AE106="  ",0+MID(AE$6,FIND("V",AE$6)+1,256)/10000,AE106+MID(AE$6,FIND("V",AE$6)+1,256)/10000)</f>
        <v>0.0006</v>
      </c>
      <c r="BA106" s="235">
        <f>IF(AF106="  ",0+MID(AF$6,FIND("V",AF$6)+1,256)/10000,AF106+MID(AF$6,FIND("V",AF$6)+1,256)/10000)</f>
        <v>0.0007</v>
      </c>
      <c r="BB106" s="235">
        <f>IF(AG106="  ",0+MID(AG$6,FIND("V",AG$6)+1,256)/10000,AG106+MID(AG$6,FIND("V",AG$6)+1,256)/10000)</f>
        <v>0.0008</v>
      </c>
      <c r="BC106" s="235">
        <f>IF(AH106="  ",0+MID(AH$6,FIND("V",AH$6)+1,256)/10000,AH106+MID(AH$6,FIND("V",AH$6)+1,256)/10000)</f>
        <v>0.0009</v>
      </c>
      <c r="BD106" s="235">
        <f>IF(AI106="  ",0+MID(AI$6,FIND("V",AI$6)+1,256)/10000,AI106+MID(AI$6,FIND("V",AI$6)+1,256)/10000)</f>
        <v>0.001</v>
      </c>
      <c r="BE106" s="233"/>
      <c r="BF106" s="233"/>
      <c r="BG106" s="233"/>
      <c r="BH106" s="233"/>
      <c r="BI106" s="3" t="e">
        <f>(LARGE(Z$7:Z$126,1)-Z106)/2+1</f>
        <v>#VALUE!</v>
      </c>
      <c r="BJ106" s="3" t="e">
        <f>(LARGE(AA$7:AA$126,1)-AA106)/2+1</f>
        <v>#VALUE!</v>
      </c>
      <c r="BK106" s="3" t="e">
        <f>(LARGE(AB$7:AB$126,1)-AB106)/2+1</f>
        <v>#VALUE!</v>
      </c>
      <c r="BL106" s="3" t="e">
        <f>(LARGE(AC$7:AC$126,1)-AC106)/2+1</f>
        <v>#VALUE!</v>
      </c>
      <c r="BM106" s="3" t="e">
        <f>(LARGE(AD$7:AD$126,1)-AD106)/2+1</f>
        <v>#VALUE!</v>
      </c>
      <c r="BN106" s="3" t="e">
        <f>(LARGE(AE$7:AE$126,1)-AE106)/2+1</f>
        <v>#VALUE!</v>
      </c>
      <c r="BO106" s="3" t="e">
        <f>(LARGE(AF$7:AF$126,1)-AF106)/2+1</f>
        <v>#VALUE!</v>
      </c>
      <c r="BP106" s="3" t="e">
        <f>(LARGE(AG$7:AG$126,1)-AG106)/2+1</f>
        <v>#VALUE!</v>
      </c>
      <c r="BQ106" s="3" t="e">
        <f>(LARGE(AH$7:AH$126,1)-AH106)/2+1</f>
        <v>#NUM!</v>
      </c>
      <c r="BR106" s="3" t="e">
        <f>(LARGE(AI$7:AI$126,1)-AI106)/2+1</f>
        <v>#NUM!</v>
      </c>
    </row>
    <row r="107" ht="12.75" hidden="1" customHeight="1" spans="1:70">
      <c r="A107" s="139" t="str">
        <f>IF(R107&gt;0,IF(Q107="Viru SK",RANK(B107,B$7:B$126,1)-COUNTIF((Q$7:Q$126),"&lt;&gt;Viru SK"),""),"")</f>
        <v/>
      </c>
      <c r="B107" s="140">
        <f>IF((Q107="Viru SK"),U107,U107-1000)</f>
        <v>-880</v>
      </c>
      <c r="C107" s="141" t="str">
        <f>IF(R107&gt;0,IF(P107="t",RANK(D107,D$7:D$126,1)-COUNTBLANK(P$7:P$126),""),"")</f>
        <v/>
      </c>
      <c r="D107" s="142">
        <f>IF((P107="t"),U107,U107-1000)</f>
        <v>-880</v>
      </c>
      <c r="E107" s="143" t="str">
        <f>IF(R107&gt;0,IF(N107="m",RANK(F107,F$7:F$126,1)-COUNTBLANK(N$7:N$126),""),"")</f>
        <v/>
      </c>
      <c r="F107" s="144">
        <f>IF((N107="m"),U107,U107-1000)</f>
        <v>120</v>
      </c>
      <c r="G107" s="145" t="str">
        <f>IF(R107&gt;0,IF(M107="n",RANK(H107,H$7:H$126,1)-COUNTBLANK(M$7:M$126),""),"")</f>
        <v/>
      </c>
      <c r="H107" s="144">
        <f>IF((M107="n"),U107,U107-1000)</f>
        <v>-880</v>
      </c>
      <c r="I107" s="160" t="str">
        <f>IF(R107&gt;0,IF(O107="j",RANK(J107,J$7:J$126,1)-COUNTBLANK(O$7:O$126),""),"")</f>
        <v/>
      </c>
      <c r="J107" s="161">
        <f>IF((O107="j"),U107,U107-1000)</f>
        <v>-880</v>
      </c>
      <c r="K107" s="162" t="str">
        <f>IF(R107&gt;0,RANK(U107,U$7:U$126,1),"")</f>
        <v/>
      </c>
      <c r="L107" s="163" t="s">
        <v>300</v>
      </c>
      <c r="M107" s="164"/>
      <c r="N107" s="165" t="str">
        <f>IF(M107="","m","")</f>
        <v>m</v>
      </c>
      <c r="O107" s="166"/>
      <c r="P107" s="167"/>
      <c r="Q107" s="192"/>
      <c r="R107" s="154">
        <f>(IF(COUNT(Z107,AA107,AB107,AC107,AD107,AE107,AF107,AG107,AH107,AI107)&lt;10,SUM(Z107,AA107,AB107,AC107,AD107,AE107,AF107,AG107,AH107,AI107),SUM(LARGE((Z107,AA107,AB107,AC107,AD107,AE107,AF107,AG107,AH107,AI107),{1;2;3;4;5;6;7;8;9}))))</f>
        <v>0</v>
      </c>
      <c r="S107" s="193" t="str">
        <f>INDEX(ETAPP!B$1:B$32,MATCH(COUNTIF(BI107:BR107,1),ETAPP!A$1:A$32,0))&amp;INDEX(ETAPP!B$1:B$32,MATCH(COUNTIF(BI107:BR107,2),ETAPP!A$1:A$32,0))&amp;INDEX(ETAPP!B$1:B$32,MATCH(COUNTIF(BI107:BR107,3),ETAPP!A$1:A$32,0))&amp;INDEX(ETAPP!B$1:B$32,MATCH(COUNTIF(BI107:BR107,4),ETAPP!A$1:A$32,0))&amp;INDEX(ETAPP!B$1:B$32,MATCH(COUNTIF(BI107:BR107,5),ETAPP!A$1:A$32,0))&amp;INDEX(ETAPP!B$1:B$32,MATCH(COUNTIF(BI107:BR107,6),ETAPP!A$1:A$32,0))&amp;INDEX(ETAPP!B$1:B$32,MATCH(COUNTIF(BI107:BR107,7),ETAPP!A$1:A$32,0))&amp;INDEX(ETAPP!B$1:B$32,MATCH(COUNTIF(BI107:BR107,8),ETAPP!A$1:A$32,0))&amp;INDEX(ETAPP!B$1:B$32,MATCH(COUNTIF(BI107:BR107,9),ETAPP!A$1:A$32,0))&amp;INDEX(ETAPP!B$1:B$32,MATCH(COUNTIF(BI107:BR107,10),ETAPP!A$1:A$32,0))&amp;INDEX(ETAPP!B$1:B$32,MATCH(COUNTIF(BI107:BR107,11),ETAPP!A$1:A$32,0))&amp;INDEX(ETAPP!B$1:B$32,MATCH(COUNTIF(BI107:BR107,12),ETAPP!A$1:A$32,0))&amp;INDEX(ETAPP!B$1:B$32,MATCH(COUNTIF(BI107:BR107,13),ETAPP!A$1:A$32,0))&amp;INDEX(ETAPP!B$1:B$32,MATCH(COUNTIF(BI107:BR107,14),ETAPP!A$1:A$32,0))&amp;INDEX(ETAPP!B$1:B$32,MATCH(COUNTIF(BI107:BR107,15),ETAPP!A$1:A$32,0))&amp;INDEX(ETAPP!B$1:B$32,MATCH(COUNTIF(BI107:BR107,16),ETAPP!A$1:A$32,0))&amp;INDEX(ETAPP!B$1:B$32,MATCH(COUNTIF(BI107:BR107,17),ETAPP!A$1:A$32,0))&amp;INDEX(ETAPP!B$1:B$32,MATCH(COUNTIF(BI107:BR107,18),ETAPP!A$1:A$32,0))&amp;INDEX(ETAPP!B$1:B$32,MATCH(COUNTIF(BI107:BR107,19),ETAPP!A$1:A$32,0))&amp;INDEX(ETAPP!B$1:B$32,MATCH(COUNTIF(BI107:BR107,20),ETAPP!A$1:A$32,0))&amp;INDEX(ETAPP!B$1:B$32,MATCH(COUNTIF(BI107:BR107,21),ETAPP!A$1:A$32,0))</f>
        <v>000000000000000000000</v>
      </c>
      <c r="T107" s="193" t="str">
        <f>TEXT(R107,"000,0")&amp;"-"&amp;S107</f>
        <v>000,0-000000000000000000000</v>
      </c>
      <c r="U107" s="193">
        <f>COUNTIF(T$7:T$126,"&gt;="&amp;T107)</f>
        <v>120</v>
      </c>
      <c r="V107" s="193">
        <f>COUNTIF(L$7:L$126,"&gt;="&amp;L107)</f>
        <v>37</v>
      </c>
      <c r="W107" s="193" t="str">
        <f>TEXT(R107,"000,0")&amp;"-"&amp;S107&amp;"-"&amp;TEXT(V107,"000")</f>
        <v>000,0-000000000000000000000-037</v>
      </c>
      <c r="X107" s="193">
        <f>COUNTIF(W$7:W$126,"&gt;="&amp;W107)</f>
        <v>101</v>
      </c>
      <c r="Y107" s="201">
        <f>RANK(X107,X$7:X$126,0)</f>
        <v>20</v>
      </c>
      <c r="Z107" s="202" t="str">
        <f>IFERROR(INDEX('V1'!C$300:C$400,MATCH("*"&amp;L107&amp;"*",'V1'!B$300:B$400,0)),"  ")</f>
        <v>  </v>
      </c>
      <c r="AA107" s="202" t="str">
        <f>IFERROR(INDEX('V2'!C$300:C$400,MATCH("*"&amp;L107&amp;"*",'V2'!B$300:B$400,0)),"  ")</f>
        <v>  </v>
      </c>
      <c r="AB107" s="202" t="str">
        <f>IFERROR(INDEX('V3'!C$300:C$400,MATCH("*"&amp;L107&amp;"*",'V3'!B$300:B$400,0)),"  ")</f>
        <v>  </v>
      </c>
      <c r="AC107" s="202" t="str">
        <f>IFERROR(INDEX('V4'!C$300:C$400,MATCH("*"&amp;L107&amp;"*",'V4'!B$300:B$400,0)),"  ")</f>
        <v>  </v>
      </c>
      <c r="AD107" s="202" t="str">
        <f>IFERROR(INDEX('V5'!C$300:C$400,MATCH("*"&amp;L107&amp;"*",'V5'!B$300:B$400,0)),"  ")</f>
        <v>  </v>
      </c>
      <c r="AE107" s="202" t="str">
        <f>IFERROR(INDEX('V6'!C$300:C$400,MATCH("*"&amp;L107&amp;"*",'V6'!B$300:B$400,0)),"  ")</f>
        <v>  </v>
      </c>
      <c r="AF107" s="202" t="str">
        <f>IFERROR(INDEX('V7'!C$300:C$400,MATCH("*"&amp;L107&amp;"*",'V7'!B$300:B$400,0)),"  ")</f>
        <v>  </v>
      </c>
      <c r="AG107" s="202" t="str">
        <f>IFERROR(INDEX('V8'!C$300:C$400,MATCH("*"&amp;L107&amp;"*",'V8'!B$300:B$400,0)),"  ")</f>
        <v>  </v>
      </c>
      <c r="AH107" s="202"/>
      <c r="AI107" s="202"/>
      <c r="AJ107" s="222" t="str">
        <f>IF(AN107&gt;(AT$2-1),K107,"")</f>
        <v/>
      </c>
      <c r="AK107" s="223">
        <f>SUM(Z107:AI107)</f>
        <v>0</v>
      </c>
      <c r="AL107" s="224" t="str">
        <f>IFERROR("edasi "&amp;RANK(AJ107,AJ$7:AJ$126,1),K107)</f>
        <v/>
      </c>
      <c r="AM107" s="225" t="str">
        <f>IFERROR(INDEX(#REF!,MATCH("*"&amp;L107&amp;"*",#REF!,0)),"  ")</f>
        <v>  </v>
      </c>
      <c r="AN107" s="226">
        <f>COUNTIF(Z107:AI107,"&gt;=0")</f>
        <v>0</v>
      </c>
      <c r="AO107" s="126">
        <f>IFERROR(IF(Z107+1&gt;LARGE(Z$7:Z$126,1)-2*LEN(Z$5),1),0)+IFERROR(IF(AA107+1&gt;LARGE(AA$7:AA$126,1)-2*LEN(AA$5),1),0)+IFERROR(IF(AB107+1&gt;LARGE(AB$7:AB$126,1)-2*LEN(AB$5),1),0)+IFERROR(IF(AC107+1&gt;LARGE(AC$7:AC$126,1)-2*LEN(AC$5),1),0)+IFERROR(IF(AD107+1&gt;LARGE(AD$7:AD$126,1)-2*LEN(AD$5),1),0)+IFERROR(IF(AE107+1&gt;LARGE(AE$7:AE$126,1)-2*LEN(AE$5),1),0)+IFERROR(IF(AF107+1&gt;LARGE(AF$7:AF$126,1)-2*LEN(AF$5),1),0)+IFERROR(IF(AG107+1&gt;LARGE(AG$7:AG$126,1)-2*LEN(AG$5),1),0)+IFERROR(IF(AH107+1&gt;LARGE(AH$7:AH$126,1)-2*LEN(AH$5),1),0)+IFERROR(IF(AI107+1&gt;LARGE(AI$7:AI$126,1)-2*LEN(AI$5),1),0)</f>
        <v>0</v>
      </c>
      <c r="AP107" s="126">
        <f>IF(Z107=0,0,IF(Z107=IFERROR(LARGE(Z$7:Z$126,1),0),1,0))+IF(AA107=0,0,IF(AA107=IFERROR(LARGE(AA$7:AA$126,1),0),1,0))+IF(AB107=0,0,IF(AB107=IFERROR(LARGE(AB$7:AB$126,1),0),1,0))+IF(AC107=0,0,IF(AC107=IFERROR(LARGE(AC$7:AC$126,1),0),1,0))+IF(AD107=0,0,IF(AD107=IFERROR(LARGE(AD$7:AD$126,1),0),1,0))+IF(AE107=0,0,IF(AE107=IFERROR(LARGE(AE$7:AE$126,1),0),1,0))+IF(AF107=0,0,IF(AF107=IFERROR(LARGE(AF$7:AF$126,1),0),1,0))+IF(AG107=0,0,IF(AG107=IFERROR(LARGE(AG$7:AG$126,1),0),1,0))+IF(AH107=0,0,IF(AH107=IFERROR(LARGE(AH$7:AH$126,1),0),1,0))+IF(AI107=0,0,IF(AI107=IFERROR(LARGE(AI$7:AI$126,1),0),1,0))</f>
        <v>0</v>
      </c>
      <c r="AQ107" s="233"/>
      <c r="AR107" s="233"/>
      <c r="AS107" s="233"/>
      <c r="AT107" s="234">
        <f>SMALL(AU107:BD107,AT$3)</f>
        <v>0.0001</v>
      </c>
      <c r="AU107" s="235">
        <f>IF(Z107="  ",0+MID(Z$6,FIND("V",Z$6)+1,256)/10000,Z107+MID(Z$6,FIND("V",Z$6)+1,256)/10000)</f>
        <v>0.0001</v>
      </c>
      <c r="AV107" s="235">
        <f>IF(AA107="  ",0+MID(AA$6,FIND("V",AA$6)+1,256)/10000,AA107+MID(AA$6,FIND("V",AA$6)+1,256)/10000)</f>
        <v>0.0002</v>
      </c>
      <c r="AW107" s="235">
        <f>IF(AB107="  ",0+MID(AB$6,FIND("V",AB$6)+1,256)/10000,AB107+MID(AB$6,FIND("V",AB$6)+1,256)/10000)</f>
        <v>0.0003</v>
      </c>
      <c r="AX107" s="235">
        <f>IF(AC107="  ",0+MID(AC$6,FIND("V",AC$6)+1,256)/10000,AC107+MID(AC$6,FIND("V",AC$6)+1,256)/10000)</f>
        <v>0.0004</v>
      </c>
      <c r="AY107" s="235">
        <f>IF(AD107="  ",0+MID(AD$6,FIND("V",AD$6)+1,256)/10000,AD107+MID(AD$6,FIND("V",AD$6)+1,256)/10000)</f>
        <v>0.0005</v>
      </c>
      <c r="AZ107" s="235">
        <f>IF(AE107="  ",0+MID(AE$6,FIND("V",AE$6)+1,256)/10000,AE107+MID(AE$6,FIND("V",AE$6)+1,256)/10000)</f>
        <v>0.0006</v>
      </c>
      <c r="BA107" s="235">
        <f>IF(AF107="  ",0+MID(AF$6,FIND("V",AF$6)+1,256)/10000,AF107+MID(AF$6,FIND("V",AF$6)+1,256)/10000)</f>
        <v>0.0007</v>
      </c>
      <c r="BB107" s="235">
        <f>IF(AG107="  ",0+MID(AG$6,FIND("V",AG$6)+1,256)/10000,AG107+MID(AG$6,FIND("V",AG$6)+1,256)/10000)</f>
        <v>0.0008</v>
      </c>
      <c r="BC107" s="235">
        <f>IF(AH107="  ",0+MID(AH$6,FIND("V",AH$6)+1,256)/10000,AH107+MID(AH$6,FIND("V",AH$6)+1,256)/10000)</f>
        <v>0.0009</v>
      </c>
      <c r="BD107" s="235">
        <f>IF(AI107="  ",0+MID(AI$6,FIND("V",AI$6)+1,256)/10000,AI107+MID(AI$6,FIND("V",AI$6)+1,256)/10000)</f>
        <v>0.001</v>
      </c>
      <c r="BE107" s="233"/>
      <c r="BF107" s="233"/>
      <c r="BG107" s="233"/>
      <c r="BH107" s="233"/>
      <c r="BI107" s="3" t="e">
        <f>(LARGE(Z$7:Z$126,1)-Z107)/2+1</f>
        <v>#VALUE!</v>
      </c>
      <c r="BJ107" s="3" t="e">
        <f>(LARGE(AA$7:AA$126,1)-AA107)/2+1</f>
        <v>#VALUE!</v>
      </c>
      <c r="BK107" s="3" t="e">
        <f>(LARGE(AB$7:AB$126,1)-AB107)/2+1</f>
        <v>#VALUE!</v>
      </c>
      <c r="BL107" s="3" t="e">
        <f>(LARGE(AC$7:AC$126,1)-AC107)/2+1</f>
        <v>#VALUE!</v>
      </c>
      <c r="BM107" s="3" t="e">
        <f>(LARGE(AD$7:AD$126,1)-AD107)/2+1</f>
        <v>#VALUE!</v>
      </c>
      <c r="BN107" s="3" t="e">
        <f>(LARGE(AE$7:AE$126,1)-AE107)/2+1</f>
        <v>#VALUE!</v>
      </c>
      <c r="BO107" s="3" t="e">
        <f>(LARGE(AF$7:AF$126,1)-AF107)/2+1</f>
        <v>#VALUE!</v>
      </c>
      <c r="BP107" s="3" t="e">
        <f>(LARGE(AG$7:AG$126,1)-AG107)/2+1</f>
        <v>#VALUE!</v>
      </c>
      <c r="BQ107" s="3" t="e">
        <f>(LARGE(AH$7:AH$126,1)-AH107)/2+1</f>
        <v>#NUM!</v>
      </c>
      <c r="BR107" s="3" t="e">
        <f>(LARGE(AI$7:AI$126,1)-AI107)/2+1</f>
        <v>#NUM!</v>
      </c>
    </row>
    <row r="108" ht="12.75" hidden="1" customHeight="1" spans="1:70">
      <c r="A108" s="139" t="str">
        <f>IF(R108&gt;0,IF(Q108="Viru SK",RANK(B108,B$7:B$126,1)-COUNTIF((Q$7:Q$126),"&lt;&gt;Viru SK"),""),"")</f>
        <v/>
      </c>
      <c r="B108" s="140">
        <f>IF((Q108="Viru SK"),U108,U108-1000)</f>
        <v>120</v>
      </c>
      <c r="C108" s="141" t="str">
        <f>IF(R108&gt;0,IF(P108="t",RANK(D108,D$7:D$126,1)-COUNTBLANK(P$7:P$126),""),"")</f>
        <v/>
      </c>
      <c r="D108" s="142">
        <f>IF((P108="t"),U108,U108-1000)</f>
        <v>-880</v>
      </c>
      <c r="E108" s="143" t="str">
        <f>IF(R108&gt;0,IF(N108="m",RANK(F108,F$7:F$126,1)-COUNTBLANK(N$7:N$126),""),"")</f>
        <v/>
      </c>
      <c r="F108" s="144">
        <f>IF((N108="m"),U108,U108-1000)</f>
        <v>120</v>
      </c>
      <c r="G108" s="145" t="str">
        <f>IF(R108&gt;0,IF(M108="n",RANK(H108,H$7:H$126,1)-COUNTBLANK(M$7:M$126),""),"")</f>
        <v/>
      </c>
      <c r="H108" s="144">
        <f>IF((M108="n"),U108,U108-1000)</f>
        <v>-880</v>
      </c>
      <c r="I108" s="160" t="str">
        <f>IF(R108&gt;0,IF(O108="j",RANK(J108,J$7:J$126,1)-COUNTBLANK(O$7:O$126),""),"")</f>
        <v/>
      </c>
      <c r="J108" s="161">
        <f>IF((O108="j"),U108,U108-1000)</f>
        <v>120</v>
      </c>
      <c r="K108" s="162" t="str">
        <f>IF(R108&gt;0,RANK(U108,U$7:U$126,1),"")</f>
        <v/>
      </c>
      <c r="L108" s="163" t="s">
        <v>301</v>
      </c>
      <c r="M108" s="164"/>
      <c r="N108" s="165" t="s">
        <v>193</v>
      </c>
      <c r="O108" s="166" t="s">
        <v>251</v>
      </c>
      <c r="P108" s="167"/>
      <c r="Q108" s="192" t="s">
        <v>171</v>
      </c>
      <c r="R108" s="154">
        <f>(IF(COUNT(Z108,AA108,AB108,AC108,AD108,AE108,AF108,AG108,AH108,AI108)&lt;10,SUM(Z108,AA108,AB108,AC108,AD108,AE108,AF108,AG108,AH108,AI108),SUM(LARGE((Z108,AA108,AB108,AC108,AD108,AE108,AF108,AG108,AH108,AI108),{1;2;3;4;5;6;7;8;9}))))</f>
        <v>0</v>
      </c>
      <c r="S108" s="193" t="str">
        <f>INDEX(ETAPP!B$1:B$32,MATCH(COUNTIF(BI108:BR108,1),ETAPP!A$1:A$32,0))&amp;INDEX(ETAPP!B$1:B$32,MATCH(COUNTIF(BI108:BR108,2),ETAPP!A$1:A$32,0))&amp;INDEX(ETAPP!B$1:B$32,MATCH(COUNTIF(BI108:BR108,3),ETAPP!A$1:A$32,0))&amp;INDEX(ETAPP!B$1:B$32,MATCH(COUNTIF(BI108:BR108,4),ETAPP!A$1:A$32,0))&amp;INDEX(ETAPP!B$1:B$32,MATCH(COUNTIF(BI108:BR108,5),ETAPP!A$1:A$32,0))&amp;INDEX(ETAPP!B$1:B$32,MATCH(COUNTIF(BI108:BR108,6),ETAPP!A$1:A$32,0))&amp;INDEX(ETAPP!B$1:B$32,MATCH(COUNTIF(BI108:BR108,7),ETAPP!A$1:A$32,0))&amp;INDEX(ETAPP!B$1:B$32,MATCH(COUNTIF(BI108:BR108,8),ETAPP!A$1:A$32,0))&amp;INDEX(ETAPP!B$1:B$32,MATCH(COUNTIF(BI108:BR108,9),ETAPP!A$1:A$32,0))&amp;INDEX(ETAPP!B$1:B$32,MATCH(COUNTIF(BI108:BR108,10),ETAPP!A$1:A$32,0))&amp;INDEX(ETAPP!B$1:B$32,MATCH(COUNTIF(BI108:BR108,11),ETAPP!A$1:A$32,0))&amp;INDEX(ETAPP!B$1:B$32,MATCH(COUNTIF(BI108:BR108,12),ETAPP!A$1:A$32,0))&amp;INDEX(ETAPP!B$1:B$32,MATCH(COUNTIF(BI108:BR108,13),ETAPP!A$1:A$32,0))&amp;INDEX(ETAPP!B$1:B$32,MATCH(COUNTIF(BI108:BR108,14),ETAPP!A$1:A$32,0))&amp;INDEX(ETAPP!B$1:B$32,MATCH(COUNTIF(BI108:BR108,15),ETAPP!A$1:A$32,0))&amp;INDEX(ETAPP!B$1:B$32,MATCH(COUNTIF(BI108:BR108,16),ETAPP!A$1:A$32,0))&amp;INDEX(ETAPP!B$1:B$32,MATCH(COUNTIF(BI108:BR108,17),ETAPP!A$1:A$32,0))&amp;INDEX(ETAPP!B$1:B$32,MATCH(COUNTIF(BI108:BR108,18),ETAPP!A$1:A$32,0))&amp;INDEX(ETAPP!B$1:B$32,MATCH(COUNTIF(BI108:BR108,19),ETAPP!A$1:A$32,0))&amp;INDEX(ETAPP!B$1:B$32,MATCH(COUNTIF(BI108:BR108,20),ETAPP!A$1:A$32,0))&amp;INDEX(ETAPP!B$1:B$32,MATCH(COUNTIF(BI108:BR108,21),ETAPP!A$1:A$32,0))</f>
        <v>000000000000000000000</v>
      </c>
      <c r="T108" s="193" t="str">
        <f>TEXT(R108,"000,0")&amp;"-"&amp;S108</f>
        <v>000,0-000000000000000000000</v>
      </c>
      <c r="U108" s="193">
        <f>COUNTIF(T$7:T$126,"&gt;="&amp;T108)</f>
        <v>120</v>
      </c>
      <c r="V108" s="193">
        <f>COUNTIF(L$7:L$126,"&gt;="&amp;L108)</f>
        <v>36</v>
      </c>
      <c r="W108" s="193" t="str">
        <f>TEXT(R108,"000,0")&amp;"-"&amp;S108&amp;"-"&amp;TEXT(V108,"000")</f>
        <v>000,0-000000000000000000000-036</v>
      </c>
      <c r="X108" s="193">
        <f>COUNTIF(W$7:W$126,"&gt;="&amp;W108)</f>
        <v>102</v>
      </c>
      <c r="Y108" s="201">
        <f>RANK(X108,X$7:X$126,0)</f>
        <v>19</v>
      </c>
      <c r="Z108" s="202" t="str">
        <f>IFERROR(INDEX('V1'!C$300:C$400,MATCH("*"&amp;L108&amp;"*",'V1'!B$300:B$400,0)),"  ")</f>
        <v>  </v>
      </c>
      <c r="AA108" s="202" t="str">
        <f>IFERROR(INDEX('V2'!C$300:C$400,MATCH("*"&amp;L108&amp;"*",'V2'!B$300:B$400,0)),"  ")</f>
        <v>  </v>
      </c>
      <c r="AB108" s="202" t="str">
        <f>IFERROR(INDEX('V3'!C$300:C$400,MATCH("*"&amp;L108&amp;"*",'V3'!B$300:B$400,0)),"  ")</f>
        <v>  </v>
      </c>
      <c r="AC108" s="202" t="str">
        <f>IFERROR(INDEX('V4'!C$300:C$400,MATCH("*"&amp;L108&amp;"*",'V4'!B$300:B$400,0)),"  ")</f>
        <v>  </v>
      </c>
      <c r="AD108" s="202" t="str">
        <f>IFERROR(INDEX('V5'!C$300:C$400,MATCH("*"&amp;L108&amp;"*",'V5'!B$300:B$400,0)),"  ")</f>
        <v>  </v>
      </c>
      <c r="AE108" s="202" t="str">
        <f>IFERROR(INDEX('V6'!C$300:C$400,MATCH("*"&amp;L108&amp;"*",'V6'!B$300:B$400,0)),"  ")</f>
        <v>  </v>
      </c>
      <c r="AF108" s="202" t="str">
        <f>IFERROR(INDEX('V7'!C$300:C$400,MATCH("*"&amp;L108&amp;"*",'V7'!B$300:B$400,0)),"  ")</f>
        <v>  </v>
      </c>
      <c r="AG108" s="202" t="str">
        <f>IFERROR(INDEX('V8'!C$300:C$400,MATCH("*"&amp;L108&amp;"*",'V8'!B$300:B$400,0)),"  ")</f>
        <v>  </v>
      </c>
      <c r="AH108" s="202"/>
      <c r="AI108" s="202"/>
      <c r="AJ108" s="222" t="str">
        <f>IF(AN108&gt;(AT$2-1),K108,"")</f>
        <v/>
      </c>
      <c r="AK108" s="223">
        <f>SUM(Z108:AI108)</f>
        <v>0</v>
      </c>
      <c r="AL108" s="224" t="str">
        <f>IFERROR("edasi "&amp;RANK(AJ108,AJ$7:AJ$126,1),K108)</f>
        <v/>
      </c>
      <c r="AM108" s="225" t="str">
        <f>IFERROR(INDEX(#REF!,MATCH("*"&amp;L108&amp;"*",#REF!,0)),"  ")</f>
        <v>  </v>
      </c>
      <c r="AN108" s="226">
        <f>COUNTIF(Z108:AI108,"&gt;=0")</f>
        <v>0</v>
      </c>
      <c r="AO108" s="126">
        <f>IFERROR(IF(Z108+1&gt;LARGE(Z$7:Z$126,1)-2*LEN(Z$5),1),0)+IFERROR(IF(AA108+1&gt;LARGE(AA$7:AA$126,1)-2*LEN(AA$5),1),0)+IFERROR(IF(AB108+1&gt;LARGE(AB$7:AB$126,1)-2*LEN(AB$5),1),0)+IFERROR(IF(AC108+1&gt;LARGE(AC$7:AC$126,1)-2*LEN(AC$5),1),0)+IFERROR(IF(AD108+1&gt;LARGE(AD$7:AD$126,1)-2*LEN(AD$5),1),0)+IFERROR(IF(AE108+1&gt;LARGE(AE$7:AE$126,1)-2*LEN(AE$5),1),0)+IFERROR(IF(AF108+1&gt;LARGE(AF$7:AF$126,1)-2*LEN(AF$5),1),0)+IFERROR(IF(AG108+1&gt;LARGE(AG$7:AG$126,1)-2*LEN(AG$5),1),0)+IFERROR(IF(AH108+1&gt;LARGE(AH$7:AH$126,1)-2*LEN(AH$5),1),0)+IFERROR(IF(AI108+1&gt;LARGE(AI$7:AI$126,1)-2*LEN(AI$5),1),0)</f>
        <v>0</v>
      </c>
      <c r="AP108" s="126">
        <f>IF(Z108=0,0,IF(Z108=IFERROR(LARGE(Z$7:Z$126,1),0),1,0))+IF(AA108=0,0,IF(AA108=IFERROR(LARGE(AA$7:AA$126,1),0),1,0))+IF(AB108=0,0,IF(AB108=IFERROR(LARGE(AB$7:AB$126,1),0),1,0))+IF(AC108=0,0,IF(AC108=IFERROR(LARGE(AC$7:AC$126,1),0),1,0))+IF(AD108=0,0,IF(AD108=IFERROR(LARGE(AD$7:AD$126,1),0),1,0))+IF(AE108=0,0,IF(AE108=IFERROR(LARGE(AE$7:AE$126,1),0),1,0))+IF(AF108=0,0,IF(AF108=IFERROR(LARGE(AF$7:AF$126,1),0),1,0))+IF(AG108=0,0,IF(AG108=IFERROR(LARGE(AG$7:AG$126,1),0),1,0))+IF(AH108=0,0,IF(AH108=IFERROR(LARGE(AH$7:AH$126,1),0),1,0))+IF(AI108=0,0,IF(AI108=IFERROR(LARGE(AI$7:AI$126,1),0),1,0))</f>
        <v>0</v>
      </c>
      <c r="AQ108" s="233"/>
      <c r="AR108" s="233"/>
      <c r="AS108" s="233"/>
      <c r="AT108" s="234">
        <f>SMALL(AU108:BD108,AT$3)</f>
        <v>0.0001</v>
      </c>
      <c r="AU108" s="235">
        <f>IF(Z108="  ",0+MID(Z$6,FIND("V",Z$6)+1,256)/10000,Z108+MID(Z$6,FIND("V",Z$6)+1,256)/10000)</f>
        <v>0.0001</v>
      </c>
      <c r="AV108" s="235">
        <f>IF(AA108="  ",0+MID(AA$6,FIND("V",AA$6)+1,256)/10000,AA108+MID(AA$6,FIND("V",AA$6)+1,256)/10000)</f>
        <v>0.0002</v>
      </c>
      <c r="AW108" s="235">
        <f>IF(AB108="  ",0+MID(AB$6,FIND("V",AB$6)+1,256)/10000,AB108+MID(AB$6,FIND("V",AB$6)+1,256)/10000)</f>
        <v>0.0003</v>
      </c>
      <c r="AX108" s="235">
        <f>IF(AC108="  ",0+MID(AC$6,FIND("V",AC$6)+1,256)/10000,AC108+MID(AC$6,FIND("V",AC$6)+1,256)/10000)</f>
        <v>0.0004</v>
      </c>
      <c r="AY108" s="235">
        <f>IF(AD108="  ",0+MID(AD$6,FIND("V",AD$6)+1,256)/10000,AD108+MID(AD$6,FIND("V",AD$6)+1,256)/10000)</f>
        <v>0.0005</v>
      </c>
      <c r="AZ108" s="235">
        <f>IF(AE108="  ",0+MID(AE$6,FIND("V",AE$6)+1,256)/10000,AE108+MID(AE$6,FIND("V",AE$6)+1,256)/10000)</f>
        <v>0.0006</v>
      </c>
      <c r="BA108" s="235">
        <f>IF(AF108="  ",0+MID(AF$6,FIND("V",AF$6)+1,256)/10000,AF108+MID(AF$6,FIND("V",AF$6)+1,256)/10000)</f>
        <v>0.0007</v>
      </c>
      <c r="BB108" s="235">
        <f>IF(AG108="  ",0+MID(AG$6,FIND("V",AG$6)+1,256)/10000,AG108+MID(AG$6,FIND("V",AG$6)+1,256)/10000)</f>
        <v>0.0008</v>
      </c>
      <c r="BC108" s="235">
        <f>IF(AH108="  ",0+MID(AH$6,FIND("V",AH$6)+1,256)/10000,AH108+MID(AH$6,FIND("V",AH$6)+1,256)/10000)</f>
        <v>0.0009</v>
      </c>
      <c r="BD108" s="235">
        <f>IF(AI108="  ",0+MID(AI$6,FIND("V",AI$6)+1,256)/10000,AI108+MID(AI$6,FIND("V",AI$6)+1,256)/10000)</f>
        <v>0.001</v>
      </c>
      <c r="BE108" s="233"/>
      <c r="BF108" s="233"/>
      <c r="BG108" s="233"/>
      <c r="BH108" s="233"/>
      <c r="BI108" s="3" t="e">
        <f>(LARGE(Z$7:Z$126,1)-Z108)/2+1</f>
        <v>#VALUE!</v>
      </c>
      <c r="BJ108" s="3" t="e">
        <f>(LARGE(AA$7:AA$126,1)-AA108)/2+1</f>
        <v>#VALUE!</v>
      </c>
      <c r="BK108" s="3" t="e">
        <f>(LARGE(AB$7:AB$126,1)-AB108)/2+1</f>
        <v>#VALUE!</v>
      </c>
      <c r="BL108" s="3" t="e">
        <f>(LARGE(AC$7:AC$126,1)-AC108)/2+1</f>
        <v>#VALUE!</v>
      </c>
      <c r="BM108" s="3" t="e">
        <f>(LARGE(AD$7:AD$126,1)-AD108)/2+1</f>
        <v>#VALUE!</v>
      </c>
      <c r="BN108" s="3" t="e">
        <f>(LARGE(AE$7:AE$126,1)-AE108)/2+1</f>
        <v>#VALUE!</v>
      </c>
      <c r="BO108" s="3" t="e">
        <f>(LARGE(AF$7:AF$126,1)-AF108)/2+1</f>
        <v>#VALUE!</v>
      </c>
      <c r="BP108" s="3" t="e">
        <f>(LARGE(AG$7:AG$126,1)-AG108)/2+1</f>
        <v>#VALUE!</v>
      </c>
      <c r="BQ108" s="3" t="e">
        <f>(LARGE(AH$7:AH$126,1)-AH108)/2+1</f>
        <v>#NUM!</v>
      </c>
      <c r="BR108" s="3" t="e">
        <f>(LARGE(AI$7:AI$126,1)-AI108)/2+1</f>
        <v>#NUM!</v>
      </c>
    </row>
    <row r="109" ht="12.75" hidden="1" customHeight="1" spans="1:70">
      <c r="A109" s="139" t="str">
        <f>IF(R109&gt;0,IF(Q109="Viru SK",RANK(B109,B$7:B$126,1)-COUNTIF((Q$7:Q$126),"&lt;&gt;Viru SK"),""),"")</f>
        <v/>
      </c>
      <c r="B109" s="140">
        <f>IF((Q109="Viru SK"),U109,U109-1000)</f>
        <v>-880</v>
      </c>
      <c r="C109" s="141" t="str">
        <f>IF(R109&gt;0,IF(P109="t",RANK(D109,D$7:D$126,1)-COUNTBLANK(P$7:P$126),""),"")</f>
        <v/>
      </c>
      <c r="D109" s="142">
        <f>IF((P109="t"),U109,U109-1000)</f>
        <v>-880</v>
      </c>
      <c r="E109" s="143" t="str">
        <f>IF(R109&gt;0,IF(N109="m",RANK(F109,F$7:F$126,1)-COUNTBLANK(N$7:N$126),""),"")</f>
        <v/>
      </c>
      <c r="F109" s="144">
        <f>IF((N109="m"),U109,U109-1000)</f>
        <v>120</v>
      </c>
      <c r="G109" s="145" t="str">
        <f>IF(R109&gt;0,IF(M109="n",RANK(H109,H$7:H$126,1)-COUNTBLANK(M$7:M$126),""),"")</f>
        <v/>
      </c>
      <c r="H109" s="144">
        <f>IF((M109="n"),U109,U109-1000)</f>
        <v>-880</v>
      </c>
      <c r="I109" s="160" t="str">
        <f>IF(R109&gt;0,IF(O109="j",RANK(J109,J$7:J$126,1)-COUNTBLANK(O$7:O$126),""),"")</f>
        <v/>
      </c>
      <c r="J109" s="161">
        <f>IF((O109="j"),U109,U109-1000)</f>
        <v>120</v>
      </c>
      <c r="K109" s="162" t="str">
        <f>IF(R109&gt;0,RANK(U109,U$7:U$126,1),"")</f>
        <v/>
      </c>
      <c r="L109" s="163" t="s">
        <v>302</v>
      </c>
      <c r="M109" s="164"/>
      <c r="N109" s="165" t="s">
        <v>193</v>
      </c>
      <c r="O109" s="166" t="s">
        <v>251</v>
      </c>
      <c r="P109" s="167"/>
      <c r="Q109" s="192"/>
      <c r="R109" s="154">
        <f>(IF(COUNT(Z109,AA109,AB109,AC109,AD109,AE109,AF109,AG109,AH109,AI109)&lt;10,SUM(Z109,AA109,AB109,AC109,AD109,AE109,AF109,AG109,AH109,AI109),SUM(LARGE((Z109,AA109,AB109,AC109,AD109,AE109,AF109,AG109,AH109,AI109),{1;2;3;4;5;6;7;8;9}))))</f>
        <v>0</v>
      </c>
      <c r="S109" s="193" t="str">
        <f>INDEX(ETAPP!B$1:B$32,MATCH(COUNTIF(BI109:BR109,1),ETAPP!A$1:A$32,0))&amp;INDEX(ETAPP!B$1:B$32,MATCH(COUNTIF(BI109:BR109,2),ETAPP!A$1:A$32,0))&amp;INDEX(ETAPP!B$1:B$32,MATCH(COUNTIF(BI109:BR109,3),ETAPP!A$1:A$32,0))&amp;INDEX(ETAPP!B$1:B$32,MATCH(COUNTIF(BI109:BR109,4),ETAPP!A$1:A$32,0))&amp;INDEX(ETAPP!B$1:B$32,MATCH(COUNTIF(BI109:BR109,5),ETAPP!A$1:A$32,0))&amp;INDEX(ETAPP!B$1:B$32,MATCH(COUNTIF(BI109:BR109,6),ETAPP!A$1:A$32,0))&amp;INDEX(ETAPP!B$1:B$32,MATCH(COUNTIF(BI109:BR109,7),ETAPP!A$1:A$32,0))&amp;INDEX(ETAPP!B$1:B$32,MATCH(COUNTIF(BI109:BR109,8),ETAPP!A$1:A$32,0))&amp;INDEX(ETAPP!B$1:B$32,MATCH(COUNTIF(BI109:BR109,9),ETAPP!A$1:A$32,0))&amp;INDEX(ETAPP!B$1:B$32,MATCH(COUNTIF(BI109:BR109,10),ETAPP!A$1:A$32,0))&amp;INDEX(ETAPP!B$1:B$32,MATCH(COUNTIF(BI109:BR109,11),ETAPP!A$1:A$32,0))&amp;INDEX(ETAPP!B$1:B$32,MATCH(COUNTIF(BI109:BR109,12),ETAPP!A$1:A$32,0))&amp;INDEX(ETAPP!B$1:B$32,MATCH(COUNTIF(BI109:BR109,13),ETAPP!A$1:A$32,0))&amp;INDEX(ETAPP!B$1:B$32,MATCH(COUNTIF(BI109:BR109,14),ETAPP!A$1:A$32,0))&amp;INDEX(ETAPP!B$1:B$32,MATCH(COUNTIF(BI109:BR109,15),ETAPP!A$1:A$32,0))&amp;INDEX(ETAPP!B$1:B$32,MATCH(COUNTIF(BI109:BR109,16),ETAPP!A$1:A$32,0))&amp;INDEX(ETAPP!B$1:B$32,MATCH(COUNTIF(BI109:BR109,17),ETAPP!A$1:A$32,0))&amp;INDEX(ETAPP!B$1:B$32,MATCH(COUNTIF(BI109:BR109,18),ETAPP!A$1:A$32,0))&amp;INDEX(ETAPP!B$1:B$32,MATCH(COUNTIF(BI109:BR109,19),ETAPP!A$1:A$32,0))&amp;INDEX(ETAPP!B$1:B$32,MATCH(COUNTIF(BI109:BR109,20),ETAPP!A$1:A$32,0))&amp;INDEX(ETAPP!B$1:B$32,MATCH(COUNTIF(BI109:BR109,21),ETAPP!A$1:A$32,0))</f>
        <v>000000000000000000000</v>
      </c>
      <c r="T109" s="193" t="str">
        <f>TEXT(R109,"000,0")&amp;"-"&amp;S109</f>
        <v>000,0-000000000000000000000</v>
      </c>
      <c r="U109" s="193">
        <f>COUNTIF(T$7:T$126,"&gt;="&amp;T109)</f>
        <v>120</v>
      </c>
      <c r="V109" s="193">
        <f>COUNTIF(L$7:L$126,"&gt;="&amp;L109)</f>
        <v>35</v>
      </c>
      <c r="W109" s="193" t="str">
        <f>TEXT(R109,"000,0")&amp;"-"&amp;S109&amp;"-"&amp;TEXT(V109,"000")</f>
        <v>000,0-000000000000000000000-035</v>
      </c>
      <c r="X109" s="193">
        <f>COUNTIF(W$7:W$126,"&gt;="&amp;W109)</f>
        <v>103</v>
      </c>
      <c r="Y109" s="201">
        <f>RANK(X109,X$7:X$126,0)</f>
        <v>18</v>
      </c>
      <c r="Z109" s="202" t="str">
        <f>IFERROR(INDEX('V1'!C$300:C$400,MATCH("*"&amp;L109&amp;"*",'V1'!B$300:B$400,0)),"  ")</f>
        <v>  </v>
      </c>
      <c r="AA109" s="202" t="str">
        <f>IFERROR(INDEX('V2'!C$300:C$400,MATCH("*"&amp;L109&amp;"*",'V2'!B$300:B$400,0)),"  ")</f>
        <v>  </v>
      </c>
      <c r="AB109" s="202" t="str">
        <f>IFERROR(INDEX('V3'!C$300:C$400,MATCH("*"&amp;L109&amp;"*",'V3'!B$300:B$400,0)),"  ")</f>
        <v>  </v>
      </c>
      <c r="AC109" s="202" t="str">
        <f>IFERROR(INDEX('V4'!C$300:C$400,MATCH("*"&amp;L109&amp;"*",'V4'!B$300:B$400,0)),"  ")</f>
        <v>  </v>
      </c>
      <c r="AD109" s="202" t="str">
        <f>IFERROR(INDEX('V5'!C$300:C$400,MATCH("*"&amp;L109&amp;"*",'V5'!B$300:B$400,0)),"  ")</f>
        <v>  </v>
      </c>
      <c r="AE109" s="202" t="str">
        <f>IFERROR(INDEX('V6'!C$300:C$400,MATCH("*"&amp;L109&amp;"*",'V6'!B$300:B$400,0)),"  ")</f>
        <v>  </v>
      </c>
      <c r="AF109" s="202" t="str">
        <f>IFERROR(INDEX('V7'!C$300:C$400,MATCH("*"&amp;L109&amp;"*",'V7'!B$300:B$400,0)),"  ")</f>
        <v>  </v>
      </c>
      <c r="AG109" s="202" t="str">
        <f>IFERROR(INDEX('V8'!C$300:C$400,MATCH("*"&amp;L109&amp;"*",'V8'!B$300:B$400,0)),"  ")</f>
        <v>  </v>
      </c>
      <c r="AH109" s="202"/>
      <c r="AI109" s="202"/>
      <c r="AJ109" s="222" t="str">
        <f>IF(AN109&gt;(AT$2-1),K109,"")</f>
        <v/>
      </c>
      <c r="AK109" s="223">
        <f>SUM(Z109:AI109)</f>
        <v>0</v>
      </c>
      <c r="AL109" s="224" t="str">
        <f>IFERROR("edasi "&amp;RANK(AJ109,AJ$7:AJ$126,1),K109)</f>
        <v/>
      </c>
      <c r="AM109" s="225" t="str">
        <f>IFERROR(INDEX(#REF!,MATCH("*"&amp;L109&amp;"*",#REF!,0)),"  ")</f>
        <v>  </v>
      </c>
      <c r="AN109" s="226">
        <f>COUNTIF(Z109:AI109,"&gt;=0")</f>
        <v>0</v>
      </c>
      <c r="AO109" s="126">
        <f>IFERROR(IF(Z109+1&gt;LARGE(Z$7:Z$126,1)-2*LEN(Z$5),1),0)+IFERROR(IF(AA109+1&gt;LARGE(AA$7:AA$126,1)-2*LEN(AA$5),1),0)+IFERROR(IF(AB109+1&gt;LARGE(AB$7:AB$126,1)-2*LEN(AB$5),1),0)+IFERROR(IF(AC109+1&gt;LARGE(AC$7:AC$126,1)-2*LEN(AC$5),1),0)+IFERROR(IF(AD109+1&gt;LARGE(AD$7:AD$126,1)-2*LEN(AD$5),1),0)+IFERROR(IF(AE109+1&gt;LARGE(AE$7:AE$126,1)-2*LEN(AE$5),1),0)+IFERROR(IF(AF109+1&gt;LARGE(AF$7:AF$126,1)-2*LEN(AF$5),1),0)+IFERROR(IF(AG109+1&gt;LARGE(AG$7:AG$126,1)-2*LEN(AG$5),1),0)+IFERROR(IF(AH109+1&gt;LARGE(AH$7:AH$126,1)-2*LEN(AH$5),1),0)+IFERROR(IF(AI109+1&gt;LARGE(AI$7:AI$126,1)-2*LEN(AI$5),1),0)</f>
        <v>0</v>
      </c>
      <c r="AP109" s="126">
        <f>IF(Z109=0,0,IF(Z109=IFERROR(LARGE(Z$7:Z$126,1),0),1,0))+IF(AA109=0,0,IF(AA109=IFERROR(LARGE(AA$7:AA$126,1),0),1,0))+IF(AB109=0,0,IF(AB109=IFERROR(LARGE(AB$7:AB$126,1),0),1,0))+IF(AC109=0,0,IF(AC109=IFERROR(LARGE(AC$7:AC$126,1),0),1,0))+IF(AD109=0,0,IF(AD109=IFERROR(LARGE(AD$7:AD$126,1),0),1,0))+IF(AE109=0,0,IF(AE109=IFERROR(LARGE(AE$7:AE$126,1),0),1,0))+IF(AF109=0,0,IF(AF109=IFERROR(LARGE(AF$7:AF$126,1),0),1,0))+IF(AG109=0,0,IF(AG109=IFERROR(LARGE(AG$7:AG$126,1),0),1,0))+IF(AH109=0,0,IF(AH109=IFERROR(LARGE(AH$7:AH$126,1),0),1,0))+IF(AI109=0,0,IF(AI109=IFERROR(LARGE(AI$7:AI$126,1),0),1,0))</f>
        <v>0</v>
      </c>
      <c r="AQ109" s="233"/>
      <c r="AR109" s="233"/>
      <c r="AS109" s="233"/>
      <c r="AT109" s="234">
        <f>SMALL(AU109:BD109,AT$3)</f>
        <v>0.0001</v>
      </c>
      <c r="AU109" s="235">
        <f>IF(Z109="  ",0+MID(Z$6,FIND("V",Z$6)+1,256)/10000,Z109+MID(Z$6,FIND("V",Z$6)+1,256)/10000)</f>
        <v>0.0001</v>
      </c>
      <c r="AV109" s="235">
        <f>IF(AA109="  ",0+MID(AA$6,FIND("V",AA$6)+1,256)/10000,AA109+MID(AA$6,FIND("V",AA$6)+1,256)/10000)</f>
        <v>0.0002</v>
      </c>
      <c r="AW109" s="235">
        <f>IF(AB109="  ",0+MID(AB$6,FIND("V",AB$6)+1,256)/10000,AB109+MID(AB$6,FIND("V",AB$6)+1,256)/10000)</f>
        <v>0.0003</v>
      </c>
      <c r="AX109" s="235">
        <f>IF(AC109="  ",0+MID(AC$6,FIND("V",AC$6)+1,256)/10000,AC109+MID(AC$6,FIND("V",AC$6)+1,256)/10000)</f>
        <v>0.0004</v>
      </c>
      <c r="AY109" s="235">
        <f>IF(AD109="  ",0+MID(AD$6,FIND("V",AD$6)+1,256)/10000,AD109+MID(AD$6,FIND("V",AD$6)+1,256)/10000)</f>
        <v>0.0005</v>
      </c>
      <c r="AZ109" s="235">
        <f>IF(AE109="  ",0+MID(AE$6,FIND("V",AE$6)+1,256)/10000,AE109+MID(AE$6,FIND("V",AE$6)+1,256)/10000)</f>
        <v>0.0006</v>
      </c>
      <c r="BA109" s="235">
        <f>IF(AF109="  ",0+MID(AF$6,FIND("V",AF$6)+1,256)/10000,AF109+MID(AF$6,FIND("V",AF$6)+1,256)/10000)</f>
        <v>0.0007</v>
      </c>
      <c r="BB109" s="235">
        <f>IF(AG109="  ",0+MID(AG$6,FIND("V",AG$6)+1,256)/10000,AG109+MID(AG$6,FIND("V",AG$6)+1,256)/10000)</f>
        <v>0.0008</v>
      </c>
      <c r="BC109" s="235">
        <f>IF(AH109="  ",0+MID(AH$6,FIND("V",AH$6)+1,256)/10000,AH109+MID(AH$6,FIND("V",AH$6)+1,256)/10000)</f>
        <v>0.0009</v>
      </c>
      <c r="BD109" s="235">
        <f>IF(AI109="  ",0+MID(AI$6,FIND("V",AI$6)+1,256)/10000,AI109+MID(AI$6,FIND("V",AI$6)+1,256)/10000)</f>
        <v>0.001</v>
      </c>
      <c r="BE109" s="233"/>
      <c r="BF109" s="233"/>
      <c r="BG109" s="233"/>
      <c r="BH109" s="233"/>
      <c r="BI109" s="3" t="e">
        <f>(LARGE(Z$7:Z$126,1)-Z109)/2+1</f>
        <v>#VALUE!</v>
      </c>
      <c r="BJ109" s="3" t="e">
        <f>(LARGE(AA$7:AA$126,1)-AA109)/2+1</f>
        <v>#VALUE!</v>
      </c>
      <c r="BK109" s="3" t="e">
        <f>(LARGE(AB$7:AB$126,1)-AB109)/2+1</f>
        <v>#VALUE!</v>
      </c>
      <c r="BL109" s="3" t="e">
        <f>(LARGE(AC$7:AC$126,1)-AC109)/2+1</f>
        <v>#VALUE!</v>
      </c>
      <c r="BM109" s="3" t="e">
        <f>(LARGE(AD$7:AD$126,1)-AD109)/2+1</f>
        <v>#VALUE!</v>
      </c>
      <c r="BN109" s="3" t="e">
        <f>(LARGE(AE$7:AE$126,1)-AE109)/2+1</f>
        <v>#VALUE!</v>
      </c>
      <c r="BO109" s="3" t="e">
        <f>(LARGE(AF$7:AF$126,1)-AF109)/2+1</f>
        <v>#VALUE!</v>
      </c>
      <c r="BP109" s="3" t="e">
        <f>(LARGE(AG$7:AG$126,1)-AG109)/2+1</f>
        <v>#VALUE!</v>
      </c>
      <c r="BQ109" s="3" t="e">
        <f>(LARGE(AH$7:AH$126,1)-AH109)/2+1</f>
        <v>#NUM!</v>
      </c>
      <c r="BR109" s="3" t="e">
        <f>(LARGE(AI$7:AI$126,1)-AI109)/2+1</f>
        <v>#NUM!</v>
      </c>
    </row>
    <row r="110" ht="12.75" hidden="1" customHeight="1" spans="1:70">
      <c r="A110" s="139" t="str">
        <f>IF(R110&gt;0,IF(Q110="Viru SK",RANK(B110,B$7:B$126,1)-COUNTIF((Q$7:Q$126),"&lt;&gt;Viru SK"),""),"")</f>
        <v/>
      </c>
      <c r="B110" s="140">
        <f>IF((Q110="Viru SK"),U110,U110-1000)</f>
        <v>-880</v>
      </c>
      <c r="C110" s="141" t="str">
        <f>IF(R110&gt;0,IF(P110="t",RANK(D110,D$7:D$126,1)-COUNTBLANK(P$7:P$126),""),"")</f>
        <v/>
      </c>
      <c r="D110" s="142">
        <f>IF((P110="t"),U110,U110-1000)</f>
        <v>-880</v>
      </c>
      <c r="E110" s="143" t="str">
        <f>IF(R110&gt;0,IF(N110="m",RANK(F110,F$7:F$126,1)-COUNTBLANK(N$7:N$126),""),"")</f>
        <v/>
      </c>
      <c r="F110" s="144">
        <f>IF((N110="m"),U110,U110-1000)</f>
        <v>120</v>
      </c>
      <c r="G110" s="145" t="str">
        <f>IF(R110&gt;0,IF(M110="n",RANK(H110,H$7:H$126,1)-COUNTBLANK(M$7:M$126),""),"")</f>
        <v/>
      </c>
      <c r="H110" s="144">
        <f>IF((M110="n"),U110,U110-1000)</f>
        <v>-880</v>
      </c>
      <c r="I110" s="160" t="str">
        <f>IF(R110&gt;0,IF(O110="j",RANK(J110,J$7:J$126,1)-COUNTBLANK(O$7:O$126),""),"")</f>
        <v/>
      </c>
      <c r="J110" s="161">
        <f>IF((O110="j"),U110,U110-1000)</f>
        <v>-880</v>
      </c>
      <c r="K110" s="162" t="str">
        <f>IF(R110&gt;0,RANK(U110,U$7:U$126,1),"")</f>
        <v/>
      </c>
      <c r="L110" s="163" t="s">
        <v>303</v>
      </c>
      <c r="M110" s="164"/>
      <c r="N110" s="165" t="s">
        <v>193</v>
      </c>
      <c r="O110" s="166"/>
      <c r="P110" s="167"/>
      <c r="Q110" s="192" t="s">
        <v>200</v>
      </c>
      <c r="R110" s="154">
        <f>(IF(COUNT(Z110,AA110,AB110,AC110,AD110,AE110,AF110,AG110,AH110,AI110)&lt;10,SUM(Z110,AA110,AB110,AC110,AD110,AE110,AF110,AG110,AH110,AI110),SUM(LARGE((Z110,AA110,AB110,AC110,AD110,AE110,AF110,AG110,AH110,AI110),{1;2;3;4;5;6;7;8;9}))))</f>
        <v>0</v>
      </c>
      <c r="S110" s="193" t="str">
        <f>INDEX(ETAPP!B$1:B$32,MATCH(COUNTIF(BI110:BR110,1),ETAPP!A$1:A$32,0))&amp;INDEX(ETAPP!B$1:B$32,MATCH(COUNTIF(BI110:BR110,2),ETAPP!A$1:A$32,0))&amp;INDEX(ETAPP!B$1:B$32,MATCH(COUNTIF(BI110:BR110,3),ETAPP!A$1:A$32,0))&amp;INDEX(ETAPP!B$1:B$32,MATCH(COUNTIF(BI110:BR110,4),ETAPP!A$1:A$32,0))&amp;INDEX(ETAPP!B$1:B$32,MATCH(COUNTIF(BI110:BR110,5),ETAPP!A$1:A$32,0))&amp;INDEX(ETAPP!B$1:B$32,MATCH(COUNTIF(BI110:BR110,6),ETAPP!A$1:A$32,0))&amp;INDEX(ETAPP!B$1:B$32,MATCH(COUNTIF(BI110:BR110,7),ETAPP!A$1:A$32,0))&amp;INDEX(ETAPP!B$1:B$32,MATCH(COUNTIF(BI110:BR110,8),ETAPP!A$1:A$32,0))&amp;INDEX(ETAPP!B$1:B$32,MATCH(COUNTIF(BI110:BR110,9),ETAPP!A$1:A$32,0))&amp;INDEX(ETAPP!B$1:B$32,MATCH(COUNTIF(BI110:BR110,10),ETAPP!A$1:A$32,0))&amp;INDEX(ETAPP!B$1:B$32,MATCH(COUNTIF(BI110:BR110,11),ETAPP!A$1:A$32,0))&amp;INDEX(ETAPP!B$1:B$32,MATCH(COUNTIF(BI110:BR110,12),ETAPP!A$1:A$32,0))&amp;INDEX(ETAPP!B$1:B$32,MATCH(COUNTIF(BI110:BR110,13),ETAPP!A$1:A$32,0))&amp;INDEX(ETAPP!B$1:B$32,MATCH(COUNTIF(BI110:BR110,14),ETAPP!A$1:A$32,0))&amp;INDEX(ETAPP!B$1:B$32,MATCH(COUNTIF(BI110:BR110,15),ETAPP!A$1:A$32,0))&amp;INDEX(ETAPP!B$1:B$32,MATCH(COUNTIF(BI110:BR110,16),ETAPP!A$1:A$32,0))&amp;INDEX(ETAPP!B$1:B$32,MATCH(COUNTIF(BI110:BR110,17),ETAPP!A$1:A$32,0))&amp;INDEX(ETAPP!B$1:B$32,MATCH(COUNTIF(BI110:BR110,18),ETAPP!A$1:A$32,0))&amp;INDEX(ETAPP!B$1:B$32,MATCH(COUNTIF(BI110:BR110,19),ETAPP!A$1:A$32,0))&amp;INDEX(ETAPP!B$1:B$32,MATCH(COUNTIF(BI110:BR110,20),ETAPP!A$1:A$32,0))&amp;INDEX(ETAPP!B$1:B$32,MATCH(COUNTIF(BI110:BR110,21),ETAPP!A$1:A$32,0))</f>
        <v>000000000000000000000</v>
      </c>
      <c r="T110" s="193" t="str">
        <f>TEXT(R110,"000,0")&amp;"-"&amp;S110</f>
        <v>000,0-000000000000000000000</v>
      </c>
      <c r="U110" s="193">
        <f>COUNTIF(T$7:T$126,"&gt;="&amp;T110)</f>
        <v>120</v>
      </c>
      <c r="V110" s="193">
        <f>COUNTIF(L$7:L$126,"&gt;="&amp;L110)</f>
        <v>34</v>
      </c>
      <c r="W110" s="193" t="str">
        <f>TEXT(R110,"000,0")&amp;"-"&amp;S110&amp;"-"&amp;TEXT(V110,"000")</f>
        <v>000,0-000000000000000000000-034</v>
      </c>
      <c r="X110" s="193">
        <f>COUNTIF(W$7:W$126,"&gt;="&amp;W110)</f>
        <v>104</v>
      </c>
      <c r="Y110" s="201">
        <f>RANK(X110,X$7:X$126,0)</f>
        <v>17</v>
      </c>
      <c r="Z110" s="202" t="str">
        <f>IFERROR(INDEX('V1'!C$300:C$400,MATCH("*"&amp;L110&amp;"*",'V1'!B$300:B$400,0)),"  ")</f>
        <v>  </v>
      </c>
      <c r="AA110" s="202" t="str">
        <f>IFERROR(INDEX('V2'!C$300:C$400,MATCH("*"&amp;L110&amp;"*",'V2'!B$300:B$400,0)),"  ")</f>
        <v>  </v>
      </c>
      <c r="AB110" s="202" t="str">
        <f>IFERROR(INDEX('V3'!C$300:C$400,MATCH("*"&amp;L110&amp;"*",'V3'!B$300:B$400,0)),"  ")</f>
        <v>  </v>
      </c>
      <c r="AC110" s="202" t="str">
        <f>IFERROR(INDEX('V4'!C$300:C$400,MATCH("*"&amp;L110&amp;"*",'V4'!B$300:B$400,0)),"  ")</f>
        <v>  </v>
      </c>
      <c r="AD110" s="202" t="str">
        <f>IFERROR(INDEX('V5'!C$300:C$400,MATCH("*"&amp;L110&amp;"*",'V5'!B$300:B$400,0)),"  ")</f>
        <v>  </v>
      </c>
      <c r="AE110" s="202" t="str">
        <f>IFERROR(INDEX('V6'!C$300:C$400,MATCH("*"&amp;L110&amp;"*",'V6'!B$300:B$400,0)),"  ")</f>
        <v>  </v>
      </c>
      <c r="AF110" s="202" t="str">
        <f>IFERROR(INDEX('V7'!C$300:C$400,MATCH("*"&amp;L110&amp;"*",'V7'!B$300:B$400,0)),"  ")</f>
        <v>  </v>
      </c>
      <c r="AG110" s="202" t="str">
        <f>IFERROR(INDEX('V8'!C$300:C$400,MATCH("*"&amp;L110&amp;"*",'V8'!B$300:B$400,0)),"  ")</f>
        <v>  </v>
      </c>
      <c r="AH110" s="202"/>
      <c r="AI110" s="202"/>
      <c r="AJ110" s="222" t="str">
        <f>IF(AN110&gt;(AT$2-1),K110,"")</f>
        <v/>
      </c>
      <c r="AK110" s="223">
        <f>SUM(Z110:AI110)</f>
        <v>0</v>
      </c>
      <c r="AL110" s="224" t="str">
        <f>IFERROR("edasi "&amp;RANK(AJ110,AJ$7:AJ$126,1),K110)</f>
        <v/>
      </c>
      <c r="AM110" s="225" t="str">
        <f>IFERROR(INDEX(#REF!,MATCH("*"&amp;L110&amp;"*",#REF!,0)),"  ")</f>
        <v>  </v>
      </c>
      <c r="AN110" s="226">
        <f>COUNTIF(Z110:AI110,"&gt;=0")</f>
        <v>0</v>
      </c>
      <c r="AO110" s="126">
        <f>IFERROR(IF(Z110+1&gt;LARGE(Z$7:Z$126,1)-2*LEN(Z$5),1),0)+IFERROR(IF(AA110+1&gt;LARGE(AA$7:AA$126,1)-2*LEN(AA$5),1),0)+IFERROR(IF(AB110+1&gt;LARGE(AB$7:AB$126,1)-2*LEN(AB$5),1),0)+IFERROR(IF(AC110+1&gt;LARGE(AC$7:AC$126,1)-2*LEN(AC$5),1),0)+IFERROR(IF(AD110+1&gt;LARGE(AD$7:AD$126,1)-2*LEN(AD$5),1),0)+IFERROR(IF(AE110+1&gt;LARGE(AE$7:AE$126,1)-2*LEN(AE$5),1),0)+IFERROR(IF(AF110+1&gt;LARGE(AF$7:AF$126,1)-2*LEN(AF$5),1),0)+IFERROR(IF(AG110+1&gt;LARGE(AG$7:AG$126,1)-2*LEN(AG$5),1),0)+IFERROR(IF(AH110+1&gt;LARGE(AH$7:AH$126,1)-2*LEN(AH$5),1),0)+IFERROR(IF(AI110+1&gt;LARGE(AI$7:AI$126,1)-2*LEN(AI$5),1),0)</f>
        <v>0</v>
      </c>
      <c r="AP110" s="126">
        <f>IF(Z110=0,0,IF(Z110=IFERROR(LARGE(Z$7:Z$126,1),0),1,0))+IF(AA110=0,0,IF(AA110=IFERROR(LARGE(AA$7:AA$126,1),0),1,0))+IF(AB110=0,0,IF(AB110=IFERROR(LARGE(AB$7:AB$126,1),0),1,0))+IF(AC110=0,0,IF(AC110=IFERROR(LARGE(AC$7:AC$126,1),0),1,0))+IF(AD110=0,0,IF(AD110=IFERROR(LARGE(AD$7:AD$126,1),0),1,0))+IF(AE110=0,0,IF(AE110=IFERROR(LARGE(AE$7:AE$126,1),0),1,0))+IF(AF110=0,0,IF(AF110=IFERROR(LARGE(AF$7:AF$126,1),0),1,0))+IF(AG110=0,0,IF(AG110=IFERROR(LARGE(AG$7:AG$126,1),0),1,0))+IF(AH110=0,0,IF(AH110=IFERROR(LARGE(AH$7:AH$126,1),0),1,0))+IF(AI110=0,0,IF(AI110=IFERROR(LARGE(AI$7:AI$126,1),0),1,0))</f>
        <v>0</v>
      </c>
      <c r="AQ110" s="233"/>
      <c r="AR110" s="233"/>
      <c r="AS110" s="233"/>
      <c r="AT110" s="234">
        <f>SMALL(AU110:BD110,AT$3)</f>
        <v>0.0001</v>
      </c>
      <c r="AU110" s="235">
        <f>IF(Z110="  ",0+MID(Z$6,FIND("V",Z$6)+1,256)/10000,Z110+MID(Z$6,FIND("V",Z$6)+1,256)/10000)</f>
        <v>0.0001</v>
      </c>
      <c r="AV110" s="235">
        <f>IF(AA110="  ",0+MID(AA$6,FIND("V",AA$6)+1,256)/10000,AA110+MID(AA$6,FIND("V",AA$6)+1,256)/10000)</f>
        <v>0.0002</v>
      </c>
      <c r="AW110" s="235">
        <f>IF(AB110="  ",0+MID(AB$6,FIND("V",AB$6)+1,256)/10000,AB110+MID(AB$6,FIND("V",AB$6)+1,256)/10000)</f>
        <v>0.0003</v>
      </c>
      <c r="AX110" s="235">
        <f>IF(AC110="  ",0+MID(AC$6,FIND("V",AC$6)+1,256)/10000,AC110+MID(AC$6,FIND("V",AC$6)+1,256)/10000)</f>
        <v>0.0004</v>
      </c>
      <c r="AY110" s="235">
        <f>IF(AD110="  ",0+MID(AD$6,FIND("V",AD$6)+1,256)/10000,AD110+MID(AD$6,FIND("V",AD$6)+1,256)/10000)</f>
        <v>0.0005</v>
      </c>
      <c r="AZ110" s="235">
        <f>IF(AE110="  ",0+MID(AE$6,FIND("V",AE$6)+1,256)/10000,AE110+MID(AE$6,FIND("V",AE$6)+1,256)/10000)</f>
        <v>0.0006</v>
      </c>
      <c r="BA110" s="235">
        <f>IF(AF110="  ",0+MID(AF$6,FIND("V",AF$6)+1,256)/10000,AF110+MID(AF$6,FIND("V",AF$6)+1,256)/10000)</f>
        <v>0.0007</v>
      </c>
      <c r="BB110" s="235">
        <f>IF(AG110="  ",0+MID(AG$6,FIND("V",AG$6)+1,256)/10000,AG110+MID(AG$6,FIND("V",AG$6)+1,256)/10000)</f>
        <v>0.0008</v>
      </c>
      <c r="BC110" s="235">
        <f>IF(AH110="  ",0+MID(AH$6,FIND("V",AH$6)+1,256)/10000,AH110+MID(AH$6,FIND("V",AH$6)+1,256)/10000)</f>
        <v>0.0009</v>
      </c>
      <c r="BD110" s="235">
        <f>IF(AI110="  ",0+MID(AI$6,FIND("V",AI$6)+1,256)/10000,AI110+MID(AI$6,FIND("V",AI$6)+1,256)/10000)</f>
        <v>0.001</v>
      </c>
      <c r="BE110" s="233"/>
      <c r="BF110" s="233"/>
      <c r="BG110" s="233"/>
      <c r="BH110" s="233"/>
      <c r="BI110" s="3" t="e">
        <f>(LARGE(Z$7:Z$126,1)-Z110)/2+1</f>
        <v>#VALUE!</v>
      </c>
      <c r="BJ110" s="3" t="e">
        <f>(LARGE(AA$7:AA$126,1)-AA110)/2+1</f>
        <v>#VALUE!</v>
      </c>
      <c r="BK110" s="3" t="e">
        <f>(LARGE(AB$7:AB$126,1)-AB110)/2+1</f>
        <v>#VALUE!</v>
      </c>
      <c r="BL110" s="3" t="e">
        <f>(LARGE(AC$7:AC$126,1)-AC110)/2+1</f>
        <v>#VALUE!</v>
      </c>
      <c r="BM110" s="3" t="e">
        <f>(LARGE(AD$7:AD$126,1)-AD110)/2+1</f>
        <v>#VALUE!</v>
      </c>
      <c r="BN110" s="3" t="e">
        <f>(LARGE(AE$7:AE$126,1)-AE110)/2+1</f>
        <v>#VALUE!</v>
      </c>
      <c r="BO110" s="3" t="e">
        <f>(LARGE(AF$7:AF$126,1)-AF110)/2+1</f>
        <v>#VALUE!</v>
      </c>
      <c r="BP110" s="3" t="e">
        <f>(LARGE(AG$7:AG$126,1)-AG110)/2+1</f>
        <v>#VALUE!</v>
      </c>
      <c r="BQ110" s="3" t="e">
        <f>(LARGE(AH$7:AH$126,1)-AH110)/2+1</f>
        <v>#NUM!</v>
      </c>
      <c r="BR110" s="3" t="e">
        <f>(LARGE(AI$7:AI$126,1)-AI110)/2+1</f>
        <v>#NUM!</v>
      </c>
    </row>
    <row r="111" ht="12.75" hidden="1" customHeight="1" spans="1:70">
      <c r="A111" s="139" t="str">
        <f>IF(R111&gt;0,IF(Q111="Viru SK",RANK(B111,B$7:B$126,1)-COUNTIF((Q$7:Q$126),"&lt;&gt;Viru SK"),""),"")</f>
        <v/>
      </c>
      <c r="B111" s="140">
        <f>IF((Q111="Viru SK"),U111,U111-1000)</f>
        <v>120</v>
      </c>
      <c r="C111" s="141" t="str">
        <f>IF(R111&gt;0,IF(P111="t",RANK(D111,D$7:D$126,1)-COUNTBLANK(P$7:P$126),""),"")</f>
        <v/>
      </c>
      <c r="D111" s="142">
        <f>IF((P111="t"),U111,U111-1000)</f>
        <v>120</v>
      </c>
      <c r="E111" s="143" t="str">
        <f>IF(R111&gt;0,IF(N111="m",RANK(F111,F$7:F$126,1)-COUNTBLANK(N$7:N$126),""),"")</f>
        <v/>
      </c>
      <c r="F111" s="144">
        <f>IF((N111="m"),U111,U111-1000)</f>
        <v>120</v>
      </c>
      <c r="G111" s="145" t="str">
        <f>IF(R111&gt;0,IF(M111="n",RANK(H111,H$7:H$126,1)-COUNTBLANK(M$7:M$126),""),"")</f>
        <v/>
      </c>
      <c r="H111" s="144">
        <f>IF((M111="n"),U111,U111-1000)</f>
        <v>-880</v>
      </c>
      <c r="I111" s="160" t="str">
        <f>IF(R111&gt;0,IF(O111="j",RANK(J111,J$7:J$126,1)-COUNTBLANK(O$7:O$126),""),"")</f>
        <v/>
      </c>
      <c r="J111" s="161">
        <f>IF((O111="j"),U111,U111-1000)</f>
        <v>120</v>
      </c>
      <c r="K111" s="162" t="str">
        <f>IF(R111&gt;0,RANK(U111,U$7:U$126,1),"")</f>
        <v/>
      </c>
      <c r="L111" s="163" t="s">
        <v>304</v>
      </c>
      <c r="M111" s="164"/>
      <c r="N111" s="165" t="s">
        <v>193</v>
      </c>
      <c r="O111" s="166" t="s">
        <v>251</v>
      </c>
      <c r="P111" s="167" t="s">
        <v>196</v>
      </c>
      <c r="Q111" s="192" t="s">
        <v>171</v>
      </c>
      <c r="R111" s="154">
        <f>(IF(COUNT(Z111,AA111,AB111,AC111,AD111,AE111,AF111,AG111,AH111,AI111)&lt;10,SUM(Z111,AA111,AB111,AC111,AD111,AE111,AF111,AG111,AH111,AI111),SUM(LARGE((Z111,AA111,AB111,AC111,AD111,AE111,AF111,AG111,AH111,AI111),{1;2;3;4;5;6;7;8;9}))))</f>
        <v>0</v>
      </c>
      <c r="S111" s="193" t="str">
        <f>INDEX(ETAPP!B$1:B$32,MATCH(COUNTIF(BI111:BR111,1),ETAPP!A$1:A$32,0))&amp;INDEX(ETAPP!B$1:B$32,MATCH(COUNTIF(BI111:BR111,2),ETAPP!A$1:A$32,0))&amp;INDEX(ETAPP!B$1:B$32,MATCH(COUNTIF(BI111:BR111,3),ETAPP!A$1:A$32,0))&amp;INDEX(ETAPP!B$1:B$32,MATCH(COUNTIF(BI111:BR111,4),ETAPP!A$1:A$32,0))&amp;INDEX(ETAPP!B$1:B$32,MATCH(COUNTIF(BI111:BR111,5),ETAPP!A$1:A$32,0))&amp;INDEX(ETAPP!B$1:B$32,MATCH(COUNTIF(BI111:BR111,6),ETAPP!A$1:A$32,0))&amp;INDEX(ETAPP!B$1:B$32,MATCH(COUNTIF(BI111:BR111,7),ETAPP!A$1:A$32,0))&amp;INDEX(ETAPP!B$1:B$32,MATCH(COUNTIF(BI111:BR111,8),ETAPP!A$1:A$32,0))&amp;INDEX(ETAPP!B$1:B$32,MATCH(COUNTIF(BI111:BR111,9),ETAPP!A$1:A$32,0))&amp;INDEX(ETAPP!B$1:B$32,MATCH(COUNTIF(BI111:BR111,10),ETAPP!A$1:A$32,0))&amp;INDEX(ETAPP!B$1:B$32,MATCH(COUNTIF(BI111:BR111,11),ETAPP!A$1:A$32,0))&amp;INDEX(ETAPP!B$1:B$32,MATCH(COUNTIF(BI111:BR111,12),ETAPP!A$1:A$32,0))&amp;INDEX(ETAPP!B$1:B$32,MATCH(COUNTIF(BI111:BR111,13),ETAPP!A$1:A$32,0))&amp;INDEX(ETAPP!B$1:B$32,MATCH(COUNTIF(BI111:BR111,14),ETAPP!A$1:A$32,0))&amp;INDEX(ETAPP!B$1:B$32,MATCH(COUNTIF(BI111:BR111,15),ETAPP!A$1:A$32,0))&amp;INDEX(ETAPP!B$1:B$32,MATCH(COUNTIF(BI111:BR111,16),ETAPP!A$1:A$32,0))&amp;INDEX(ETAPP!B$1:B$32,MATCH(COUNTIF(BI111:BR111,17),ETAPP!A$1:A$32,0))&amp;INDEX(ETAPP!B$1:B$32,MATCH(COUNTIF(BI111:BR111,18),ETAPP!A$1:A$32,0))&amp;INDEX(ETAPP!B$1:B$32,MATCH(COUNTIF(BI111:BR111,19),ETAPP!A$1:A$32,0))&amp;INDEX(ETAPP!B$1:B$32,MATCH(COUNTIF(BI111:BR111,20),ETAPP!A$1:A$32,0))&amp;INDEX(ETAPP!B$1:B$32,MATCH(COUNTIF(BI111:BR111,21),ETAPP!A$1:A$32,0))</f>
        <v>000000000000000000000</v>
      </c>
      <c r="T111" s="193" t="str">
        <f>TEXT(R111,"000,0")&amp;"-"&amp;S111</f>
        <v>000,0-000000000000000000000</v>
      </c>
      <c r="U111" s="193">
        <f>COUNTIF(T$7:T$126,"&gt;="&amp;T111)</f>
        <v>120</v>
      </c>
      <c r="V111" s="193">
        <f>COUNTIF(L$7:L$126,"&gt;="&amp;L111)</f>
        <v>33</v>
      </c>
      <c r="W111" s="193" t="str">
        <f>TEXT(R111,"000,0")&amp;"-"&amp;S111&amp;"-"&amp;TEXT(V111,"000")</f>
        <v>000,0-000000000000000000000-033</v>
      </c>
      <c r="X111" s="193">
        <f>COUNTIF(W$7:W$126,"&gt;="&amp;W111)</f>
        <v>105</v>
      </c>
      <c r="Y111" s="201">
        <f>RANK(X111,X$7:X$126,0)</f>
        <v>16</v>
      </c>
      <c r="Z111" s="202" t="str">
        <f>IFERROR(INDEX('V1'!C$300:C$400,MATCH("*"&amp;L111&amp;"*",'V1'!B$300:B$400,0)),"  ")</f>
        <v>  </v>
      </c>
      <c r="AA111" s="202" t="str">
        <f>IFERROR(INDEX('V2'!C$300:C$400,MATCH("*"&amp;L111&amp;"*",'V2'!B$300:B$400,0)),"  ")</f>
        <v>  </v>
      </c>
      <c r="AB111" s="202" t="str">
        <f>IFERROR(INDEX('V3'!C$300:C$400,MATCH("*"&amp;L111&amp;"*",'V3'!B$300:B$400,0)),"  ")</f>
        <v>  </v>
      </c>
      <c r="AC111" s="202" t="str">
        <f>IFERROR(INDEX('V4'!C$300:C$400,MATCH("*"&amp;L111&amp;"*",'V4'!B$300:B$400,0)),"  ")</f>
        <v>  </v>
      </c>
      <c r="AD111" s="202" t="str">
        <f>IFERROR(INDEX('V5'!C$300:C$400,MATCH("*"&amp;L111&amp;"*",'V5'!B$300:B$400,0)),"  ")</f>
        <v>  </v>
      </c>
      <c r="AE111" s="202" t="str">
        <f>IFERROR(INDEX('V6'!C$300:C$400,MATCH("*"&amp;L111&amp;"*",'V6'!B$300:B$400,0)),"  ")</f>
        <v>  </v>
      </c>
      <c r="AF111" s="202" t="str">
        <f>IFERROR(INDEX('V7'!C$300:C$400,MATCH("*"&amp;L111&amp;"*",'V7'!B$300:B$400,0)),"  ")</f>
        <v>  </v>
      </c>
      <c r="AG111" s="202" t="str">
        <f>IFERROR(INDEX('V8'!C$300:C$400,MATCH("*"&amp;L111&amp;"*",'V8'!B$300:B$400,0)),"  ")</f>
        <v>  </v>
      </c>
      <c r="AH111" s="202"/>
      <c r="AI111" s="202"/>
      <c r="AJ111" s="222" t="str">
        <f>IF(AN111&gt;(AT$2-1),K111,"")</f>
        <v/>
      </c>
      <c r="AK111" s="223">
        <f>SUM(Z111:AI111)</f>
        <v>0</v>
      </c>
      <c r="AL111" s="224" t="str">
        <f>IFERROR("edasi "&amp;RANK(AJ111,AJ$7:AJ$126,1),K111)</f>
        <v/>
      </c>
      <c r="AM111" s="225" t="str">
        <f>IFERROR(INDEX(#REF!,MATCH("*"&amp;L111&amp;"*",#REF!,0)),"  ")</f>
        <v>  </v>
      </c>
      <c r="AN111" s="226">
        <f>COUNTIF(Z111:AI111,"&gt;=0")</f>
        <v>0</v>
      </c>
      <c r="AO111" s="126">
        <f>IFERROR(IF(Z111+1&gt;LARGE(Z$7:Z$126,1)-2*LEN(Z$5),1),0)+IFERROR(IF(AA111+1&gt;LARGE(AA$7:AA$126,1)-2*LEN(AA$5),1),0)+IFERROR(IF(AB111+1&gt;LARGE(AB$7:AB$126,1)-2*LEN(AB$5),1),0)+IFERROR(IF(AC111+1&gt;LARGE(AC$7:AC$126,1)-2*LEN(AC$5),1),0)+IFERROR(IF(AD111+1&gt;LARGE(AD$7:AD$126,1)-2*LEN(AD$5),1),0)+IFERROR(IF(AE111+1&gt;LARGE(AE$7:AE$126,1)-2*LEN(AE$5),1),0)+IFERROR(IF(AF111+1&gt;LARGE(AF$7:AF$126,1)-2*LEN(AF$5),1),0)+IFERROR(IF(AG111+1&gt;LARGE(AG$7:AG$126,1)-2*LEN(AG$5),1),0)+IFERROR(IF(AH111+1&gt;LARGE(AH$7:AH$126,1)-2*LEN(AH$5),1),0)+IFERROR(IF(AI111+1&gt;LARGE(AI$7:AI$126,1)-2*LEN(AI$5),1),0)</f>
        <v>0</v>
      </c>
      <c r="AP111" s="126">
        <f>IF(Z111=0,0,IF(Z111=IFERROR(LARGE(Z$7:Z$126,1),0),1,0))+IF(AA111=0,0,IF(AA111=IFERROR(LARGE(AA$7:AA$126,1),0),1,0))+IF(AB111=0,0,IF(AB111=IFERROR(LARGE(AB$7:AB$126,1),0),1,0))+IF(AC111=0,0,IF(AC111=IFERROR(LARGE(AC$7:AC$126,1),0),1,0))+IF(AD111=0,0,IF(AD111=IFERROR(LARGE(AD$7:AD$126,1),0),1,0))+IF(AE111=0,0,IF(AE111=IFERROR(LARGE(AE$7:AE$126,1),0),1,0))+IF(AF111=0,0,IF(AF111=IFERROR(LARGE(AF$7:AF$126,1),0),1,0))+IF(AG111=0,0,IF(AG111=IFERROR(LARGE(AG$7:AG$126,1),0),1,0))+IF(AH111=0,0,IF(AH111=IFERROR(LARGE(AH$7:AH$126,1),0),1,0))+IF(AI111=0,0,IF(AI111=IFERROR(LARGE(AI$7:AI$126,1),0),1,0))</f>
        <v>0</v>
      </c>
      <c r="AQ111" s="233"/>
      <c r="AR111" s="233"/>
      <c r="AS111" s="233"/>
      <c r="AT111" s="234">
        <f>SMALL(AU111:BD111,AT$3)</f>
        <v>0.0001</v>
      </c>
      <c r="AU111" s="235">
        <f>IF(Z111="  ",0+MID(Z$6,FIND("V",Z$6)+1,256)/10000,Z111+MID(Z$6,FIND("V",Z$6)+1,256)/10000)</f>
        <v>0.0001</v>
      </c>
      <c r="AV111" s="235">
        <f>IF(AA111="  ",0+MID(AA$6,FIND("V",AA$6)+1,256)/10000,AA111+MID(AA$6,FIND("V",AA$6)+1,256)/10000)</f>
        <v>0.0002</v>
      </c>
      <c r="AW111" s="235">
        <f>IF(AB111="  ",0+MID(AB$6,FIND("V",AB$6)+1,256)/10000,AB111+MID(AB$6,FIND("V",AB$6)+1,256)/10000)</f>
        <v>0.0003</v>
      </c>
      <c r="AX111" s="235">
        <f>IF(AC111="  ",0+MID(AC$6,FIND("V",AC$6)+1,256)/10000,AC111+MID(AC$6,FIND("V",AC$6)+1,256)/10000)</f>
        <v>0.0004</v>
      </c>
      <c r="AY111" s="235">
        <f>IF(AD111="  ",0+MID(AD$6,FIND("V",AD$6)+1,256)/10000,AD111+MID(AD$6,FIND("V",AD$6)+1,256)/10000)</f>
        <v>0.0005</v>
      </c>
      <c r="AZ111" s="235">
        <f>IF(AE111="  ",0+MID(AE$6,FIND("V",AE$6)+1,256)/10000,AE111+MID(AE$6,FIND("V",AE$6)+1,256)/10000)</f>
        <v>0.0006</v>
      </c>
      <c r="BA111" s="235">
        <f>IF(AF111="  ",0+MID(AF$6,FIND("V",AF$6)+1,256)/10000,AF111+MID(AF$6,FIND("V",AF$6)+1,256)/10000)</f>
        <v>0.0007</v>
      </c>
      <c r="BB111" s="235">
        <f>IF(AG111="  ",0+MID(AG$6,FIND("V",AG$6)+1,256)/10000,AG111+MID(AG$6,FIND("V",AG$6)+1,256)/10000)</f>
        <v>0.0008</v>
      </c>
      <c r="BC111" s="235">
        <f>IF(AH111="  ",0+MID(AH$6,FIND("V",AH$6)+1,256)/10000,AH111+MID(AH$6,FIND("V",AH$6)+1,256)/10000)</f>
        <v>0.0009</v>
      </c>
      <c r="BD111" s="235">
        <f>IF(AI111="  ",0+MID(AI$6,FIND("V",AI$6)+1,256)/10000,AI111+MID(AI$6,FIND("V",AI$6)+1,256)/10000)</f>
        <v>0.001</v>
      </c>
      <c r="BE111" s="233"/>
      <c r="BF111" s="233"/>
      <c r="BG111" s="233"/>
      <c r="BH111" s="233"/>
      <c r="BI111" s="3" t="e">
        <f>(LARGE(Z$7:Z$126,1)-Z111)/2+1</f>
        <v>#VALUE!</v>
      </c>
      <c r="BJ111" s="3" t="e">
        <f>(LARGE(AA$7:AA$126,1)-AA111)/2+1</f>
        <v>#VALUE!</v>
      </c>
      <c r="BK111" s="3" t="e">
        <f>(LARGE(AB$7:AB$126,1)-AB111)/2+1</f>
        <v>#VALUE!</v>
      </c>
      <c r="BL111" s="3" t="e">
        <f>(LARGE(AC$7:AC$126,1)-AC111)/2+1</f>
        <v>#VALUE!</v>
      </c>
      <c r="BM111" s="3" t="e">
        <f>(LARGE(AD$7:AD$126,1)-AD111)/2+1</f>
        <v>#VALUE!</v>
      </c>
      <c r="BN111" s="3" t="e">
        <f>(LARGE(AE$7:AE$126,1)-AE111)/2+1</f>
        <v>#VALUE!</v>
      </c>
      <c r="BO111" s="3" t="e">
        <f>(LARGE(AF$7:AF$126,1)-AF111)/2+1</f>
        <v>#VALUE!</v>
      </c>
      <c r="BP111" s="3" t="e">
        <f>(LARGE(AG$7:AG$126,1)-AG111)/2+1</f>
        <v>#VALUE!</v>
      </c>
      <c r="BQ111" s="3" t="e">
        <f>(LARGE(AH$7:AH$126,1)-AH111)/2+1</f>
        <v>#NUM!</v>
      </c>
      <c r="BR111" s="3" t="e">
        <f>(LARGE(AI$7:AI$126,1)-AI111)/2+1</f>
        <v>#NUM!</v>
      </c>
    </row>
    <row r="112" ht="12.75" hidden="1" customHeight="1" spans="1:70">
      <c r="A112" s="139" t="str">
        <f>IF(R112&gt;0,IF(Q112="Viru SK",RANK(B112,B$7:B$126,1)-COUNTIF((Q$7:Q$126),"&lt;&gt;Viru SK"),""),"")</f>
        <v/>
      </c>
      <c r="B112" s="140">
        <f>IF((Q112="Viru SK"),U112,U112-1000)</f>
        <v>-880</v>
      </c>
      <c r="C112" s="141" t="str">
        <f>IF(R112&gt;0,IF(P112="t",RANK(D112,D$7:D$126,1)-COUNTBLANK(P$7:P$126),""),"")</f>
        <v/>
      </c>
      <c r="D112" s="142">
        <f>IF((P112="t"),U112,U112-1000)</f>
        <v>-880</v>
      </c>
      <c r="E112" s="143" t="str">
        <f>IF(R112&gt;0,IF(N112="m",RANK(F112,F$7:F$126,1)-COUNTBLANK(N$7:N$126),""),"")</f>
        <v/>
      </c>
      <c r="F112" s="144">
        <f>IF((N112="m"),U112,U112-1000)</f>
        <v>-880</v>
      </c>
      <c r="G112" s="145" t="str">
        <f>IF(R112&gt;0,IF(M112="n",RANK(H112,H$7:H$126,1)-COUNTBLANK(M$7:M$126),""),"")</f>
        <v/>
      </c>
      <c r="H112" s="144">
        <f>IF((M112="n"),U112,U112-1000)</f>
        <v>120</v>
      </c>
      <c r="I112" s="160" t="str">
        <f>IF(R112&gt;0,IF(O112="j",RANK(J112,J$7:J$126,1)-COUNTBLANK(O$7:O$126),""),"")</f>
        <v/>
      </c>
      <c r="J112" s="161">
        <f>IF((O112="j"),U112,U112-1000)</f>
        <v>-880</v>
      </c>
      <c r="K112" s="162" t="str">
        <f>IF(R112&gt;0,RANK(U112,U$7:U$126,1),"")</f>
        <v/>
      </c>
      <c r="L112" s="163" t="s">
        <v>305</v>
      </c>
      <c r="M112" s="164" t="s">
        <v>203</v>
      </c>
      <c r="N112" s="165"/>
      <c r="O112" s="166"/>
      <c r="P112" s="167"/>
      <c r="Q112" s="192" t="s">
        <v>200</v>
      </c>
      <c r="R112" s="154">
        <f>(IF(COUNT(Z112,AA112,AB112,AC112,AD112,AE112,AF112,AG112,AH112,AI112)&lt;10,SUM(Z112,AA112,AB112,AC112,AD112,AE112,AF112,AG112,AH112,AI112),SUM(LARGE((Z112,AA112,AB112,AC112,AD112,AE112,AF112,AG112,AH112,AI112),{1;2;3;4;5;6;7;8;9}))))</f>
        <v>0</v>
      </c>
      <c r="S112" s="193" t="str">
        <f>INDEX(ETAPP!B$1:B$32,MATCH(COUNTIF(BI112:BR112,1),ETAPP!A$1:A$32,0))&amp;INDEX(ETAPP!B$1:B$32,MATCH(COUNTIF(BI112:BR112,2),ETAPP!A$1:A$32,0))&amp;INDEX(ETAPP!B$1:B$32,MATCH(COUNTIF(BI112:BR112,3),ETAPP!A$1:A$32,0))&amp;INDEX(ETAPP!B$1:B$32,MATCH(COUNTIF(BI112:BR112,4),ETAPP!A$1:A$32,0))&amp;INDEX(ETAPP!B$1:B$32,MATCH(COUNTIF(BI112:BR112,5),ETAPP!A$1:A$32,0))&amp;INDEX(ETAPP!B$1:B$32,MATCH(COUNTIF(BI112:BR112,6),ETAPP!A$1:A$32,0))&amp;INDEX(ETAPP!B$1:B$32,MATCH(COUNTIF(BI112:BR112,7),ETAPP!A$1:A$32,0))&amp;INDEX(ETAPP!B$1:B$32,MATCH(COUNTIF(BI112:BR112,8),ETAPP!A$1:A$32,0))&amp;INDEX(ETAPP!B$1:B$32,MATCH(COUNTIF(BI112:BR112,9),ETAPP!A$1:A$32,0))&amp;INDEX(ETAPP!B$1:B$32,MATCH(COUNTIF(BI112:BR112,10),ETAPP!A$1:A$32,0))&amp;INDEX(ETAPP!B$1:B$32,MATCH(COUNTIF(BI112:BR112,11),ETAPP!A$1:A$32,0))&amp;INDEX(ETAPP!B$1:B$32,MATCH(COUNTIF(BI112:BR112,12),ETAPP!A$1:A$32,0))&amp;INDEX(ETAPP!B$1:B$32,MATCH(COUNTIF(BI112:BR112,13),ETAPP!A$1:A$32,0))&amp;INDEX(ETAPP!B$1:B$32,MATCH(COUNTIF(BI112:BR112,14),ETAPP!A$1:A$32,0))&amp;INDEX(ETAPP!B$1:B$32,MATCH(COUNTIF(BI112:BR112,15),ETAPP!A$1:A$32,0))&amp;INDEX(ETAPP!B$1:B$32,MATCH(COUNTIF(BI112:BR112,16),ETAPP!A$1:A$32,0))&amp;INDEX(ETAPP!B$1:B$32,MATCH(COUNTIF(BI112:BR112,17),ETAPP!A$1:A$32,0))&amp;INDEX(ETAPP!B$1:B$32,MATCH(COUNTIF(BI112:BR112,18),ETAPP!A$1:A$32,0))&amp;INDEX(ETAPP!B$1:B$32,MATCH(COUNTIF(BI112:BR112,19),ETAPP!A$1:A$32,0))&amp;INDEX(ETAPP!B$1:B$32,MATCH(COUNTIF(BI112:BR112,20),ETAPP!A$1:A$32,0))&amp;INDEX(ETAPP!B$1:B$32,MATCH(COUNTIF(BI112:BR112,21),ETAPP!A$1:A$32,0))</f>
        <v>000000000000000000000</v>
      </c>
      <c r="T112" s="193" t="str">
        <f>TEXT(R112,"000,0")&amp;"-"&amp;S112</f>
        <v>000,0-000000000000000000000</v>
      </c>
      <c r="U112" s="193">
        <f>COUNTIF(T$7:T$126,"&gt;="&amp;T112)</f>
        <v>120</v>
      </c>
      <c r="V112" s="193">
        <f>COUNTIF(L$7:L$126,"&gt;="&amp;L112)</f>
        <v>32</v>
      </c>
      <c r="W112" s="193" t="str">
        <f>TEXT(R112,"000,0")&amp;"-"&amp;S112&amp;"-"&amp;TEXT(V112,"000")</f>
        <v>000,0-000000000000000000000-032</v>
      </c>
      <c r="X112" s="193">
        <f>COUNTIF(W$7:W$126,"&gt;="&amp;W112)</f>
        <v>106</v>
      </c>
      <c r="Y112" s="201">
        <f>RANK(X112,X$7:X$126,0)</f>
        <v>15</v>
      </c>
      <c r="Z112" s="202" t="str">
        <f>IFERROR(INDEX('V1'!C$300:C$400,MATCH("*"&amp;L112&amp;"*",'V1'!B$300:B$400,0)),"  ")</f>
        <v>  </v>
      </c>
      <c r="AA112" s="202" t="str">
        <f>IFERROR(INDEX('V2'!C$300:C$400,MATCH("*"&amp;L112&amp;"*",'V2'!B$300:B$400,0)),"  ")</f>
        <v>  </v>
      </c>
      <c r="AB112" s="202" t="str">
        <f>IFERROR(INDEX('V3'!C$300:C$400,MATCH("*"&amp;L112&amp;"*",'V3'!B$300:B$400,0)),"  ")</f>
        <v>  </v>
      </c>
      <c r="AC112" s="202" t="str">
        <f>IFERROR(INDEX('V4'!C$300:C$400,MATCH("*"&amp;L112&amp;"*",'V4'!B$300:B$400,0)),"  ")</f>
        <v>  </v>
      </c>
      <c r="AD112" s="202" t="str">
        <f>IFERROR(INDEX('V5'!C$300:C$400,MATCH("*"&amp;L112&amp;"*",'V5'!B$300:B$400,0)),"  ")</f>
        <v>  </v>
      </c>
      <c r="AE112" s="202" t="str">
        <f>IFERROR(INDEX('V6'!C$300:C$400,MATCH("*"&amp;L112&amp;"*",'V6'!B$300:B$400,0)),"  ")</f>
        <v>  </v>
      </c>
      <c r="AF112" s="202" t="str">
        <f>IFERROR(INDEX('V7'!C$300:C$400,MATCH("*"&amp;L112&amp;"*",'V7'!B$300:B$400,0)),"  ")</f>
        <v>  </v>
      </c>
      <c r="AG112" s="202" t="str">
        <f>IFERROR(INDEX('V8'!C$300:C$400,MATCH("*"&amp;L112&amp;"*",'V8'!B$300:B$400,0)),"  ")</f>
        <v>  </v>
      </c>
      <c r="AH112" s="202"/>
      <c r="AI112" s="202"/>
      <c r="AJ112" s="222" t="str">
        <f>IF(AN112&gt;(AT$2-1),K112,"")</f>
        <v/>
      </c>
      <c r="AK112" s="223">
        <f>SUM(Z112:AI112)</f>
        <v>0</v>
      </c>
      <c r="AL112" s="224" t="str">
        <f>IFERROR("edasi "&amp;RANK(AJ112,AJ$7:AJ$126,1),K112)</f>
        <v/>
      </c>
      <c r="AM112" s="225" t="str">
        <f>IFERROR(INDEX(#REF!,MATCH("*"&amp;L112&amp;"*",#REF!,0)),"  ")</f>
        <v>  </v>
      </c>
      <c r="AN112" s="226">
        <f>COUNTIF(Z112:AI112,"&gt;=0")</f>
        <v>0</v>
      </c>
      <c r="AO112" s="126">
        <f>IFERROR(IF(Z112+1&gt;LARGE(Z$7:Z$126,1)-2*LEN(Z$5),1),0)+IFERROR(IF(AA112+1&gt;LARGE(AA$7:AA$126,1)-2*LEN(AA$5),1),0)+IFERROR(IF(AB112+1&gt;LARGE(AB$7:AB$126,1)-2*LEN(AB$5),1),0)+IFERROR(IF(AC112+1&gt;LARGE(AC$7:AC$126,1)-2*LEN(AC$5),1),0)+IFERROR(IF(AD112+1&gt;LARGE(AD$7:AD$126,1)-2*LEN(AD$5),1),0)+IFERROR(IF(AE112+1&gt;LARGE(AE$7:AE$126,1)-2*LEN(AE$5),1),0)+IFERROR(IF(AF112+1&gt;LARGE(AF$7:AF$126,1)-2*LEN(AF$5),1),0)+IFERROR(IF(AG112+1&gt;LARGE(AG$7:AG$126,1)-2*LEN(AG$5),1),0)+IFERROR(IF(AH112+1&gt;LARGE(AH$7:AH$126,1)-2*LEN(AH$5),1),0)+IFERROR(IF(AI112+1&gt;LARGE(AI$7:AI$126,1)-2*LEN(AI$5),1),0)</f>
        <v>0</v>
      </c>
      <c r="AP112" s="126">
        <f>IF(Z112=0,0,IF(Z112=IFERROR(LARGE(Z$7:Z$126,1),0),1,0))+IF(AA112=0,0,IF(AA112=IFERROR(LARGE(AA$7:AA$126,1),0),1,0))+IF(AB112=0,0,IF(AB112=IFERROR(LARGE(AB$7:AB$126,1),0),1,0))+IF(AC112=0,0,IF(AC112=IFERROR(LARGE(AC$7:AC$126,1),0),1,0))+IF(AD112=0,0,IF(AD112=IFERROR(LARGE(AD$7:AD$126,1),0),1,0))+IF(AE112=0,0,IF(AE112=IFERROR(LARGE(AE$7:AE$126,1),0),1,0))+IF(AF112=0,0,IF(AF112=IFERROR(LARGE(AF$7:AF$126,1),0),1,0))+IF(AG112=0,0,IF(AG112=IFERROR(LARGE(AG$7:AG$126,1),0),1,0))+IF(AH112=0,0,IF(AH112=IFERROR(LARGE(AH$7:AH$126,1),0),1,0))+IF(AI112=0,0,IF(AI112=IFERROR(LARGE(AI$7:AI$126,1),0),1,0))</f>
        <v>0</v>
      </c>
      <c r="AQ112" s="233"/>
      <c r="AR112" s="233"/>
      <c r="AS112" s="233"/>
      <c r="AT112" s="234">
        <f>SMALL(AU112:BD112,AT$3)</f>
        <v>0.0001</v>
      </c>
      <c r="AU112" s="235">
        <f>IF(Z112="  ",0+MID(Z$6,FIND("V",Z$6)+1,256)/10000,Z112+MID(Z$6,FIND("V",Z$6)+1,256)/10000)</f>
        <v>0.0001</v>
      </c>
      <c r="AV112" s="235">
        <f>IF(AA112="  ",0+MID(AA$6,FIND("V",AA$6)+1,256)/10000,AA112+MID(AA$6,FIND("V",AA$6)+1,256)/10000)</f>
        <v>0.0002</v>
      </c>
      <c r="AW112" s="235">
        <f>IF(AB112="  ",0+MID(AB$6,FIND("V",AB$6)+1,256)/10000,AB112+MID(AB$6,FIND("V",AB$6)+1,256)/10000)</f>
        <v>0.0003</v>
      </c>
      <c r="AX112" s="235">
        <f>IF(AC112="  ",0+MID(AC$6,FIND("V",AC$6)+1,256)/10000,AC112+MID(AC$6,FIND("V",AC$6)+1,256)/10000)</f>
        <v>0.0004</v>
      </c>
      <c r="AY112" s="235">
        <f>IF(AD112="  ",0+MID(AD$6,FIND("V",AD$6)+1,256)/10000,AD112+MID(AD$6,FIND("V",AD$6)+1,256)/10000)</f>
        <v>0.0005</v>
      </c>
      <c r="AZ112" s="235">
        <f>IF(AE112="  ",0+MID(AE$6,FIND("V",AE$6)+1,256)/10000,AE112+MID(AE$6,FIND("V",AE$6)+1,256)/10000)</f>
        <v>0.0006</v>
      </c>
      <c r="BA112" s="235">
        <f>IF(AF112="  ",0+MID(AF$6,FIND("V",AF$6)+1,256)/10000,AF112+MID(AF$6,FIND("V",AF$6)+1,256)/10000)</f>
        <v>0.0007</v>
      </c>
      <c r="BB112" s="235">
        <f>IF(AG112="  ",0+MID(AG$6,FIND("V",AG$6)+1,256)/10000,AG112+MID(AG$6,FIND("V",AG$6)+1,256)/10000)</f>
        <v>0.0008</v>
      </c>
      <c r="BC112" s="235">
        <f>IF(AH112="  ",0+MID(AH$6,FIND("V",AH$6)+1,256)/10000,AH112+MID(AH$6,FIND("V",AH$6)+1,256)/10000)</f>
        <v>0.0009</v>
      </c>
      <c r="BD112" s="235">
        <f>IF(AI112="  ",0+MID(AI$6,FIND("V",AI$6)+1,256)/10000,AI112+MID(AI$6,FIND("V",AI$6)+1,256)/10000)</f>
        <v>0.001</v>
      </c>
      <c r="BE112" s="233"/>
      <c r="BF112" s="233"/>
      <c r="BG112" s="233"/>
      <c r="BH112" s="233"/>
      <c r="BI112" s="3" t="e">
        <f>(LARGE(Z$7:Z$126,1)-Z112)/2+1</f>
        <v>#VALUE!</v>
      </c>
      <c r="BJ112" s="3" t="e">
        <f>(LARGE(AA$7:AA$126,1)-AA112)/2+1</f>
        <v>#VALUE!</v>
      </c>
      <c r="BK112" s="3" t="e">
        <f>(LARGE(AB$7:AB$126,1)-AB112)/2+1</f>
        <v>#VALUE!</v>
      </c>
      <c r="BL112" s="3" t="e">
        <f>(LARGE(AC$7:AC$126,1)-AC112)/2+1</f>
        <v>#VALUE!</v>
      </c>
      <c r="BM112" s="3" t="e">
        <f>(LARGE(AD$7:AD$126,1)-AD112)/2+1</f>
        <v>#VALUE!</v>
      </c>
      <c r="BN112" s="3" t="e">
        <f>(LARGE(AE$7:AE$126,1)-AE112)/2+1</f>
        <v>#VALUE!</v>
      </c>
      <c r="BO112" s="3" t="e">
        <f>(LARGE(AF$7:AF$126,1)-AF112)/2+1</f>
        <v>#VALUE!</v>
      </c>
      <c r="BP112" s="3" t="e">
        <f>(LARGE(AG$7:AG$126,1)-AG112)/2+1</f>
        <v>#VALUE!</v>
      </c>
      <c r="BQ112" s="3" t="e">
        <f>(LARGE(AH$7:AH$126,1)-AH112)/2+1</f>
        <v>#NUM!</v>
      </c>
      <c r="BR112" s="3" t="e">
        <f>(LARGE(AI$7:AI$126,1)-AI112)/2+1</f>
        <v>#NUM!</v>
      </c>
    </row>
    <row r="113" ht="12.75" hidden="1" customHeight="1" spans="1:70">
      <c r="A113" s="139" t="str">
        <f>IF(R113&gt;0,IF(Q113="Viru SK",RANK(B113,B$7:B$126,1)-COUNTIF((Q$7:Q$126),"&lt;&gt;Viru SK"),""),"")</f>
        <v/>
      </c>
      <c r="B113" s="140">
        <f>IF((Q113="Viru SK"),U113,U113-1000)</f>
        <v>-880</v>
      </c>
      <c r="C113" s="141" t="str">
        <f>IF(R113&gt;0,IF(P113="t",RANK(D113,D$7:D$126,1)-COUNTBLANK(P$7:P$126),""),"")</f>
        <v/>
      </c>
      <c r="D113" s="142">
        <f>IF((P113="t"),U113,U113-1000)</f>
        <v>-880</v>
      </c>
      <c r="E113" s="143" t="str">
        <f>IF(R113&gt;0,IF(N113="m",RANK(F113,F$7:F$126,1)-COUNTBLANK(N$7:N$126),""),"")</f>
        <v/>
      </c>
      <c r="F113" s="144">
        <f>IF((N113="m"),U113,U113-1000)</f>
        <v>120</v>
      </c>
      <c r="G113" s="145" t="str">
        <f>IF(R113&gt;0,IF(M113="n",RANK(H113,H$7:H$126,1)-COUNTBLANK(M$7:M$126),""),"")</f>
        <v/>
      </c>
      <c r="H113" s="144">
        <f>IF((M113="n"),U113,U113-1000)</f>
        <v>-880</v>
      </c>
      <c r="I113" s="160" t="str">
        <f>IF(R113&gt;0,IF(O113="j",RANK(J113,J$7:J$126,1)-COUNTBLANK(O$7:O$126),""),"")</f>
        <v/>
      </c>
      <c r="J113" s="161">
        <f>IF((O113="j"),U113,U113-1000)</f>
        <v>-880</v>
      </c>
      <c r="K113" s="162" t="str">
        <f>IF(R113&gt;0,RANK(U113,U$7:U$126,1),"")</f>
        <v/>
      </c>
      <c r="L113" s="163" t="s">
        <v>306</v>
      </c>
      <c r="M113" s="164"/>
      <c r="N113" s="165" t="s">
        <v>193</v>
      </c>
      <c r="O113" s="166"/>
      <c r="P113" s="167"/>
      <c r="Q113" s="192"/>
      <c r="R113" s="154">
        <f>(IF(COUNT(Z113,AA113,AB113,AC113,AD113,AE113,AF113,AG113,AH113,AI113)&lt;10,SUM(Z113,AA113,AB113,AC113,AD113,AE113,AF113,AG113,AH113,AI113),SUM(LARGE((Z113,AA113,AB113,AC113,AD113,AE113,AF113,AG113,AH113,AI113),{1;2;3;4;5;6;7;8;9}))))</f>
        <v>0</v>
      </c>
      <c r="S113" s="193" t="str">
        <f>INDEX(ETAPP!B$1:B$32,MATCH(COUNTIF(BI113:BR113,1),ETAPP!A$1:A$32,0))&amp;INDEX(ETAPP!B$1:B$32,MATCH(COUNTIF(BI113:BR113,2),ETAPP!A$1:A$32,0))&amp;INDEX(ETAPP!B$1:B$32,MATCH(COUNTIF(BI113:BR113,3),ETAPP!A$1:A$32,0))&amp;INDEX(ETAPP!B$1:B$32,MATCH(COUNTIF(BI113:BR113,4),ETAPP!A$1:A$32,0))&amp;INDEX(ETAPP!B$1:B$32,MATCH(COUNTIF(BI113:BR113,5),ETAPP!A$1:A$32,0))&amp;INDEX(ETAPP!B$1:B$32,MATCH(COUNTIF(BI113:BR113,6),ETAPP!A$1:A$32,0))&amp;INDEX(ETAPP!B$1:B$32,MATCH(COUNTIF(BI113:BR113,7),ETAPP!A$1:A$32,0))&amp;INDEX(ETAPP!B$1:B$32,MATCH(COUNTIF(BI113:BR113,8),ETAPP!A$1:A$32,0))&amp;INDEX(ETAPP!B$1:B$32,MATCH(COUNTIF(BI113:BR113,9),ETAPP!A$1:A$32,0))&amp;INDEX(ETAPP!B$1:B$32,MATCH(COUNTIF(BI113:BR113,10),ETAPP!A$1:A$32,0))&amp;INDEX(ETAPP!B$1:B$32,MATCH(COUNTIF(BI113:BR113,11),ETAPP!A$1:A$32,0))&amp;INDEX(ETAPP!B$1:B$32,MATCH(COUNTIF(BI113:BR113,12),ETAPP!A$1:A$32,0))&amp;INDEX(ETAPP!B$1:B$32,MATCH(COUNTIF(BI113:BR113,13),ETAPP!A$1:A$32,0))&amp;INDEX(ETAPP!B$1:B$32,MATCH(COUNTIF(BI113:BR113,14),ETAPP!A$1:A$32,0))&amp;INDEX(ETAPP!B$1:B$32,MATCH(COUNTIF(BI113:BR113,15),ETAPP!A$1:A$32,0))&amp;INDEX(ETAPP!B$1:B$32,MATCH(COUNTIF(BI113:BR113,16),ETAPP!A$1:A$32,0))&amp;INDEX(ETAPP!B$1:B$32,MATCH(COUNTIF(BI113:BR113,17),ETAPP!A$1:A$32,0))&amp;INDEX(ETAPP!B$1:B$32,MATCH(COUNTIF(BI113:BR113,18),ETAPP!A$1:A$32,0))&amp;INDEX(ETAPP!B$1:B$32,MATCH(COUNTIF(BI113:BR113,19),ETAPP!A$1:A$32,0))&amp;INDEX(ETAPP!B$1:B$32,MATCH(COUNTIF(BI113:BR113,20),ETAPP!A$1:A$32,0))&amp;INDEX(ETAPP!B$1:B$32,MATCH(COUNTIF(BI113:BR113,21),ETAPP!A$1:A$32,0))</f>
        <v>000000000000000000000</v>
      </c>
      <c r="T113" s="193" t="str">
        <f>TEXT(R113,"000,0")&amp;"-"&amp;S113</f>
        <v>000,0-000000000000000000000</v>
      </c>
      <c r="U113" s="193">
        <f>COUNTIF(T$7:T$126,"&gt;="&amp;T113)</f>
        <v>120</v>
      </c>
      <c r="V113" s="193">
        <f>COUNTIF(L$7:L$126,"&gt;="&amp;L113)</f>
        <v>29</v>
      </c>
      <c r="W113" s="193" t="str">
        <f>TEXT(R113,"000,0")&amp;"-"&amp;S113&amp;"-"&amp;TEXT(V113,"000")</f>
        <v>000,0-000000000000000000000-029</v>
      </c>
      <c r="X113" s="193">
        <f>COUNTIF(W$7:W$126,"&gt;="&amp;W113)</f>
        <v>107</v>
      </c>
      <c r="Y113" s="201">
        <f>RANK(X113,X$7:X$126,0)</f>
        <v>14</v>
      </c>
      <c r="Z113" s="202" t="str">
        <f>IFERROR(INDEX('V1'!C$300:C$400,MATCH("*"&amp;L113&amp;"*",'V1'!B$300:B$400,0)),"  ")</f>
        <v>  </v>
      </c>
      <c r="AA113" s="202" t="str">
        <f>IFERROR(INDEX('V2'!C$300:C$400,MATCH("*"&amp;L113&amp;"*",'V2'!B$300:B$400,0)),"  ")</f>
        <v>  </v>
      </c>
      <c r="AB113" s="202" t="str">
        <f>IFERROR(INDEX('V3'!C$300:C$400,MATCH("*"&amp;L113&amp;"*",'V3'!B$300:B$400,0)),"  ")</f>
        <v>  </v>
      </c>
      <c r="AC113" s="202" t="str">
        <f>IFERROR(INDEX('V4'!C$300:C$400,MATCH("*"&amp;L113&amp;"*",'V4'!B$300:B$400,0)),"  ")</f>
        <v>  </v>
      </c>
      <c r="AD113" s="202" t="str">
        <f>IFERROR(INDEX('V5'!C$300:C$400,MATCH("*"&amp;L113&amp;"*",'V5'!B$300:B$400,0)),"  ")</f>
        <v>  </v>
      </c>
      <c r="AE113" s="202" t="str">
        <f>IFERROR(INDEX('V6'!C$300:C$400,MATCH("*"&amp;L113&amp;"*",'V6'!B$300:B$400,0)),"  ")</f>
        <v>  </v>
      </c>
      <c r="AF113" s="202" t="str">
        <f>IFERROR(INDEX('V7'!C$300:C$400,MATCH("*"&amp;L113&amp;"*",'V7'!B$300:B$400,0)),"  ")</f>
        <v>  </v>
      </c>
      <c r="AG113" s="202" t="str">
        <f>IFERROR(INDEX('V8'!C$300:C$400,MATCH("*"&amp;L113&amp;"*",'V8'!B$300:B$400,0)),"  ")</f>
        <v>  </v>
      </c>
      <c r="AH113" s="202"/>
      <c r="AI113" s="202"/>
      <c r="AJ113" s="222" t="str">
        <f>IF(AN113&gt;(AT$2-1),K113,"")</f>
        <v/>
      </c>
      <c r="AK113" s="223">
        <f>SUM(Z113:AI113)</f>
        <v>0</v>
      </c>
      <c r="AL113" s="224" t="str">
        <f>IFERROR("edasi "&amp;RANK(AJ113,AJ$7:AJ$126,1),K113)</f>
        <v/>
      </c>
      <c r="AM113" s="225" t="str">
        <f>IFERROR(INDEX(#REF!,MATCH("*"&amp;L113&amp;"*",#REF!,0)),"  ")</f>
        <v>  </v>
      </c>
      <c r="AN113" s="226">
        <f>COUNTIF(Z113:AI113,"&gt;=0")</f>
        <v>0</v>
      </c>
      <c r="AO113" s="126">
        <f>IFERROR(IF(Z113+1&gt;LARGE(Z$7:Z$126,1)-2*LEN(Z$5),1),0)+IFERROR(IF(AA113+1&gt;LARGE(AA$7:AA$126,1)-2*LEN(AA$5),1),0)+IFERROR(IF(AB113+1&gt;LARGE(AB$7:AB$126,1)-2*LEN(AB$5),1),0)+IFERROR(IF(AC113+1&gt;LARGE(AC$7:AC$126,1)-2*LEN(AC$5),1),0)+IFERROR(IF(AD113+1&gt;LARGE(AD$7:AD$126,1)-2*LEN(AD$5),1),0)+IFERROR(IF(AE113+1&gt;LARGE(AE$7:AE$126,1)-2*LEN(AE$5),1),0)+IFERROR(IF(AF113+1&gt;LARGE(AF$7:AF$126,1)-2*LEN(AF$5),1),0)+IFERROR(IF(AG113+1&gt;LARGE(AG$7:AG$126,1)-2*LEN(AG$5),1),0)+IFERROR(IF(AH113+1&gt;LARGE(AH$7:AH$126,1)-2*LEN(AH$5),1),0)+IFERROR(IF(AI113+1&gt;LARGE(AI$7:AI$126,1)-2*LEN(AI$5),1),0)</f>
        <v>0</v>
      </c>
      <c r="AP113" s="126">
        <f>IF(Z113=0,0,IF(Z113=IFERROR(LARGE(Z$7:Z$126,1),0),1,0))+IF(AA113=0,0,IF(AA113=IFERROR(LARGE(AA$7:AA$126,1),0),1,0))+IF(AB113=0,0,IF(AB113=IFERROR(LARGE(AB$7:AB$126,1),0),1,0))+IF(AC113=0,0,IF(AC113=IFERROR(LARGE(AC$7:AC$126,1),0),1,0))+IF(AD113=0,0,IF(AD113=IFERROR(LARGE(AD$7:AD$126,1),0),1,0))+IF(AE113=0,0,IF(AE113=IFERROR(LARGE(AE$7:AE$126,1),0),1,0))+IF(AF113=0,0,IF(AF113=IFERROR(LARGE(AF$7:AF$126,1),0),1,0))+IF(AG113=0,0,IF(AG113=IFERROR(LARGE(AG$7:AG$126,1),0),1,0))+IF(AH113=0,0,IF(AH113=IFERROR(LARGE(AH$7:AH$126,1),0),1,0))+IF(AI113=0,0,IF(AI113=IFERROR(LARGE(AI$7:AI$126,1),0),1,0))</f>
        <v>0</v>
      </c>
      <c r="AQ113" s="233"/>
      <c r="AR113" s="233"/>
      <c r="AS113" s="233"/>
      <c r="AT113" s="234">
        <f>SMALL(AU113:BD113,AT$3)</f>
        <v>0.0001</v>
      </c>
      <c r="AU113" s="235">
        <f>IF(Z113="  ",0+MID(Z$6,FIND("V",Z$6)+1,256)/10000,Z113+MID(Z$6,FIND("V",Z$6)+1,256)/10000)</f>
        <v>0.0001</v>
      </c>
      <c r="AV113" s="235">
        <f>IF(AA113="  ",0+MID(AA$6,FIND("V",AA$6)+1,256)/10000,AA113+MID(AA$6,FIND("V",AA$6)+1,256)/10000)</f>
        <v>0.0002</v>
      </c>
      <c r="AW113" s="235">
        <f>IF(AB113="  ",0+MID(AB$6,FIND("V",AB$6)+1,256)/10000,AB113+MID(AB$6,FIND("V",AB$6)+1,256)/10000)</f>
        <v>0.0003</v>
      </c>
      <c r="AX113" s="235">
        <f>IF(AC113="  ",0+MID(AC$6,FIND("V",AC$6)+1,256)/10000,AC113+MID(AC$6,FIND("V",AC$6)+1,256)/10000)</f>
        <v>0.0004</v>
      </c>
      <c r="AY113" s="235">
        <f>IF(AD113="  ",0+MID(AD$6,FIND("V",AD$6)+1,256)/10000,AD113+MID(AD$6,FIND("V",AD$6)+1,256)/10000)</f>
        <v>0.0005</v>
      </c>
      <c r="AZ113" s="235">
        <f>IF(AE113="  ",0+MID(AE$6,FIND("V",AE$6)+1,256)/10000,AE113+MID(AE$6,FIND("V",AE$6)+1,256)/10000)</f>
        <v>0.0006</v>
      </c>
      <c r="BA113" s="235">
        <f>IF(AF113="  ",0+MID(AF$6,FIND("V",AF$6)+1,256)/10000,AF113+MID(AF$6,FIND("V",AF$6)+1,256)/10000)</f>
        <v>0.0007</v>
      </c>
      <c r="BB113" s="235">
        <f>IF(AG113="  ",0+MID(AG$6,FIND("V",AG$6)+1,256)/10000,AG113+MID(AG$6,FIND("V",AG$6)+1,256)/10000)</f>
        <v>0.0008</v>
      </c>
      <c r="BC113" s="235">
        <f>IF(AH113="  ",0+MID(AH$6,FIND("V",AH$6)+1,256)/10000,AH113+MID(AH$6,FIND("V",AH$6)+1,256)/10000)</f>
        <v>0.0009</v>
      </c>
      <c r="BD113" s="235">
        <f>IF(AI113="  ",0+MID(AI$6,FIND("V",AI$6)+1,256)/10000,AI113+MID(AI$6,FIND("V",AI$6)+1,256)/10000)</f>
        <v>0.001</v>
      </c>
      <c r="BE113" s="233"/>
      <c r="BF113" s="233"/>
      <c r="BG113" s="233"/>
      <c r="BH113" s="233"/>
      <c r="BI113" s="3" t="e">
        <f>(LARGE(Z$7:Z$126,1)-Z113)/2+1</f>
        <v>#VALUE!</v>
      </c>
      <c r="BJ113" s="3" t="e">
        <f>(LARGE(AA$7:AA$126,1)-AA113)/2+1</f>
        <v>#VALUE!</v>
      </c>
      <c r="BK113" s="3" t="e">
        <f>(LARGE(AB$7:AB$126,1)-AB113)/2+1</f>
        <v>#VALUE!</v>
      </c>
      <c r="BL113" s="3" t="e">
        <f>(LARGE(AC$7:AC$126,1)-AC113)/2+1</f>
        <v>#VALUE!</v>
      </c>
      <c r="BM113" s="3" t="e">
        <f>(LARGE(AD$7:AD$126,1)-AD113)/2+1</f>
        <v>#VALUE!</v>
      </c>
      <c r="BN113" s="3" t="e">
        <f>(LARGE(AE$7:AE$126,1)-AE113)/2+1</f>
        <v>#VALUE!</v>
      </c>
      <c r="BO113" s="3" t="e">
        <f>(LARGE(AF$7:AF$126,1)-AF113)/2+1</f>
        <v>#VALUE!</v>
      </c>
      <c r="BP113" s="3" t="e">
        <f>(LARGE(AG$7:AG$126,1)-AG113)/2+1</f>
        <v>#VALUE!</v>
      </c>
      <c r="BQ113" s="3" t="e">
        <f>(LARGE(AH$7:AH$126,1)-AH113)/2+1</f>
        <v>#NUM!</v>
      </c>
      <c r="BR113" s="3" t="e">
        <f>(LARGE(AI$7:AI$126,1)-AI113)/2+1</f>
        <v>#NUM!</v>
      </c>
    </row>
    <row r="114" ht="12.75" hidden="1" customHeight="1" spans="1:70">
      <c r="A114" s="139" t="str">
        <f>IF(R114&gt;0,IF(Q114="Viru SK",RANK(B114,B$7:B$126,1)-COUNTIF((Q$7:Q$126),"&lt;&gt;Viru SK"),""),"")</f>
        <v/>
      </c>
      <c r="B114" s="140">
        <f>IF((Q114="Viru SK"),U114,U114-1000)</f>
        <v>120</v>
      </c>
      <c r="C114" s="141" t="str">
        <f>IF(R114&gt;0,IF(P114="t",RANK(D114,D$7:D$126,1)-COUNTBLANK(P$7:P$126),""),"")</f>
        <v/>
      </c>
      <c r="D114" s="142">
        <f>IF((P114="t"),U114,U114-1000)</f>
        <v>-880</v>
      </c>
      <c r="E114" s="143" t="str">
        <f>IF(R114&gt;0,IF(N114="m",RANK(F114,F$7:F$126,1)-COUNTBLANK(N$7:N$126),""),"")</f>
        <v/>
      </c>
      <c r="F114" s="144">
        <f>IF((N114="m"),U114,U114-1000)</f>
        <v>-880</v>
      </c>
      <c r="G114" s="145" t="str">
        <f>IF(R114&gt;0,IF(M114="n",RANK(H114,H$7:H$126,1)-COUNTBLANK(M$7:M$126),""),"")</f>
        <v/>
      </c>
      <c r="H114" s="144">
        <f>IF((M114="n"),U114,U114-1000)</f>
        <v>120</v>
      </c>
      <c r="I114" s="160" t="str">
        <f>IF(R114&gt;0,IF(O114="j",RANK(J114,J$7:J$126,1)-COUNTBLANK(O$7:O$126),""),"")</f>
        <v/>
      </c>
      <c r="J114" s="161">
        <f>IF((O114="j"),U114,U114-1000)</f>
        <v>-880</v>
      </c>
      <c r="K114" s="162" t="str">
        <f>IF(R114&gt;0,RANK(U114,U$7:U$126,1),"")</f>
        <v/>
      </c>
      <c r="L114" s="163" t="s">
        <v>307</v>
      </c>
      <c r="M114" s="164" t="s">
        <v>203</v>
      </c>
      <c r="N114" s="165"/>
      <c r="O114" s="166"/>
      <c r="P114" s="167"/>
      <c r="Q114" s="192" t="s">
        <v>171</v>
      </c>
      <c r="R114" s="154">
        <f>(IF(COUNT(Z114,AA114,AB114,AC114,AD114,AE114,AF114,AG114,AH114,AI114)&lt;10,SUM(Z114,AA114,AB114,AC114,AD114,AE114,AF114,AG114,AH114,AI114),SUM(LARGE((Z114,AA114,AB114,AC114,AD114,AE114,AF114,AG114,AH114,AI114),{1;2;3;4;5;6;7;8;9}))))</f>
        <v>0</v>
      </c>
      <c r="S114" s="193" t="str">
        <f>INDEX(ETAPP!B$1:B$32,MATCH(COUNTIF(BI114:BR114,1),ETAPP!A$1:A$32,0))&amp;INDEX(ETAPP!B$1:B$32,MATCH(COUNTIF(BI114:BR114,2),ETAPP!A$1:A$32,0))&amp;INDEX(ETAPP!B$1:B$32,MATCH(COUNTIF(BI114:BR114,3),ETAPP!A$1:A$32,0))&amp;INDEX(ETAPP!B$1:B$32,MATCH(COUNTIF(BI114:BR114,4),ETAPP!A$1:A$32,0))&amp;INDEX(ETAPP!B$1:B$32,MATCH(COUNTIF(BI114:BR114,5),ETAPP!A$1:A$32,0))&amp;INDEX(ETAPP!B$1:B$32,MATCH(COUNTIF(BI114:BR114,6),ETAPP!A$1:A$32,0))&amp;INDEX(ETAPP!B$1:B$32,MATCH(COUNTIF(BI114:BR114,7),ETAPP!A$1:A$32,0))&amp;INDEX(ETAPP!B$1:B$32,MATCH(COUNTIF(BI114:BR114,8),ETAPP!A$1:A$32,0))&amp;INDEX(ETAPP!B$1:B$32,MATCH(COUNTIF(BI114:BR114,9),ETAPP!A$1:A$32,0))&amp;INDEX(ETAPP!B$1:B$32,MATCH(COUNTIF(BI114:BR114,10),ETAPP!A$1:A$32,0))&amp;INDEX(ETAPP!B$1:B$32,MATCH(COUNTIF(BI114:BR114,11),ETAPP!A$1:A$32,0))&amp;INDEX(ETAPP!B$1:B$32,MATCH(COUNTIF(BI114:BR114,12),ETAPP!A$1:A$32,0))&amp;INDEX(ETAPP!B$1:B$32,MATCH(COUNTIF(BI114:BR114,13),ETAPP!A$1:A$32,0))&amp;INDEX(ETAPP!B$1:B$32,MATCH(COUNTIF(BI114:BR114,14),ETAPP!A$1:A$32,0))&amp;INDEX(ETAPP!B$1:B$32,MATCH(COUNTIF(BI114:BR114,15),ETAPP!A$1:A$32,0))&amp;INDEX(ETAPP!B$1:B$32,MATCH(COUNTIF(BI114:BR114,16),ETAPP!A$1:A$32,0))&amp;INDEX(ETAPP!B$1:B$32,MATCH(COUNTIF(BI114:BR114,17),ETAPP!A$1:A$32,0))&amp;INDEX(ETAPP!B$1:B$32,MATCH(COUNTIF(BI114:BR114,18),ETAPP!A$1:A$32,0))&amp;INDEX(ETAPP!B$1:B$32,MATCH(COUNTIF(BI114:BR114,19),ETAPP!A$1:A$32,0))&amp;INDEX(ETAPP!B$1:B$32,MATCH(COUNTIF(BI114:BR114,20),ETAPP!A$1:A$32,0))&amp;INDEX(ETAPP!B$1:B$32,MATCH(COUNTIF(BI114:BR114,21),ETAPP!A$1:A$32,0))</f>
        <v>000000000000000000000</v>
      </c>
      <c r="T114" s="193" t="str">
        <f>TEXT(R114,"000,0")&amp;"-"&amp;S114</f>
        <v>000,0-000000000000000000000</v>
      </c>
      <c r="U114" s="193">
        <f>COUNTIF(T$7:T$126,"&gt;="&amp;T114)</f>
        <v>120</v>
      </c>
      <c r="V114" s="193">
        <f>COUNTIF(L$7:L$126,"&gt;="&amp;L114)</f>
        <v>28</v>
      </c>
      <c r="W114" s="193" t="str">
        <f>TEXT(R114,"000,0")&amp;"-"&amp;S114&amp;"-"&amp;TEXT(V114,"000")</f>
        <v>000,0-000000000000000000000-028</v>
      </c>
      <c r="X114" s="193">
        <f>COUNTIF(W$7:W$126,"&gt;="&amp;W114)</f>
        <v>108</v>
      </c>
      <c r="Y114" s="201">
        <f>RANK(X114,X$7:X$126,0)</f>
        <v>13</v>
      </c>
      <c r="Z114" s="202" t="str">
        <f>IFERROR(INDEX('V1'!C$300:C$400,MATCH("*"&amp;L114&amp;"*",'V1'!B$300:B$400,0)),"  ")</f>
        <v>  </v>
      </c>
      <c r="AA114" s="202" t="str">
        <f>IFERROR(INDEX('V2'!C$300:C$400,MATCH("*"&amp;L114&amp;"*",'V2'!B$300:B$400,0)),"  ")</f>
        <v>  </v>
      </c>
      <c r="AB114" s="202" t="str">
        <f>IFERROR(INDEX('V3'!C$300:C$400,MATCH("*"&amp;L114&amp;"*",'V3'!B$300:B$400,0)),"  ")</f>
        <v>  </v>
      </c>
      <c r="AC114" s="202" t="str">
        <f>IFERROR(INDEX('V4'!C$300:C$400,MATCH("*"&amp;L114&amp;"*",'V4'!B$300:B$400,0)),"  ")</f>
        <v>  </v>
      </c>
      <c r="AD114" s="202" t="str">
        <f>IFERROR(INDEX('V5'!C$300:C$400,MATCH("*"&amp;L114&amp;"*",'V5'!B$300:B$400,0)),"  ")</f>
        <v>  </v>
      </c>
      <c r="AE114" s="202" t="str">
        <f>IFERROR(INDEX('V6'!C$300:C$400,MATCH("*"&amp;L114&amp;"*",'V6'!B$300:B$400,0)),"  ")</f>
        <v>  </v>
      </c>
      <c r="AF114" s="202" t="str">
        <f>IFERROR(INDEX('V7'!C$300:C$400,MATCH("*"&amp;L114&amp;"*",'V7'!B$300:B$400,0)),"  ")</f>
        <v>  </v>
      </c>
      <c r="AG114" s="202" t="str">
        <f>IFERROR(INDEX('V8'!C$300:C$400,MATCH("*"&amp;L114&amp;"*",'V8'!B$300:B$400,0)),"  ")</f>
        <v>  </v>
      </c>
      <c r="AH114" s="202"/>
      <c r="AI114" s="202"/>
      <c r="AJ114" s="222" t="str">
        <f>IF(AN114&gt;(AT$2-1),K114,"")</f>
        <v/>
      </c>
      <c r="AK114" s="223">
        <f>SUM(Z114:AI114)</f>
        <v>0</v>
      </c>
      <c r="AL114" s="224" t="str">
        <f>IFERROR("edasi "&amp;RANK(AJ114,AJ$7:AJ$126,1),K114)</f>
        <v/>
      </c>
      <c r="AM114" s="225" t="str">
        <f>IFERROR(INDEX(#REF!,MATCH("*"&amp;L114&amp;"*",#REF!,0)),"  ")</f>
        <v>  </v>
      </c>
      <c r="AN114" s="226">
        <f>COUNTIF(Z114:AI114,"&gt;=0")</f>
        <v>0</v>
      </c>
      <c r="AO114" s="126">
        <f>IFERROR(IF(Z114+1&gt;LARGE(Z$7:Z$126,1)-2*LEN(Z$5),1),0)+IFERROR(IF(AA114+1&gt;LARGE(AA$7:AA$126,1)-2*LEN(AA$5),1),0)+IFERROR(IF(AB114+1&gt;LARGE(AB$7:AB$126,1)-2*LEN(AB$5),1),0)+IFERROR(IF(AC114+1&gt;LARGE(AC$7:AC$126,1)-2*LEN(AC$5),1),0)+IFERROR(IF(AD114+1&gt;LARGE(AD$7:AD$126,1)-2*LEN(AD$5),1),0)+IFERROR(IF(AE114+1&gt;LARGE(AE$7:AE$126,1)-2*LEN(AE$5),1),0)+IFERROR(IF(AF114+1&gt;LARGE(AF$7:AF$126,1)-2*LEN(AF$5),1),0)+IFERROR(IF(AG114+1&gt;LARGE(AG$7:AG$126,1)-2*LEN(AG$5),1),0)+IFERROR(IF(AH114+1&gt;LARGE(AH$7:AH$126,1)-2*LEN(AH$5),1),0)+IFERROR(IF(AI114+1&gt;LARGE(AI$7:AI$126,1)-2*LEN(AI$5),1),0)</f>
        <v>0</v>
      </c>
      <c r="AP114" s="126">
        <f>IF(Z114=0,0,IF(Z114=IFERROR(LARGE(Z$7:Z$126,1),0),1,0))+IF(AA114=0,0,IF(AA114=IFERROR(LARGE(AA$7:AA$126,1),0),1,0))+IF(AB114=0,0,IF(AB114=IFERROR(LARGE(AB$7:AB$126,1),0),1,0))+IF(AC114=0,0,IF(AC114=IFERROR(LARGE(AC$7:AC$126,1),0),1,0))+IF(AD114=0,0,IF(AD114=IFERROR(LARGE(AD$7:AD$126,1),0),1,0))+IF(AE114=0,0,IF(AE114=IFERROR(LARGE(AE$7:AE$126,1),0),1,0))+IF(AF114=0,0,IF(AF114=IFERROR(LARGE(AF$7:AF$126,1),0),1,0))+IF(AG114=0,0,IF(AG114=IFERROR(LARGE(AG$7:AG$126,1),0),1,0))+IF(AH114=0,0,IF(AH114=IFERROR(LARGE(AH$7:AH$126,1),0),1,0))+IF(AI114=0,0,IF(AI114=IFERROR(LARGE(AI$7:AI$126,1),0),1,0))</f>
        <v>0</v>
      </c>
      <c r="AQ114" s="233"/>
      <c r="AR114" s="233"/>
      <c r="AS114" s="233"/>
      <c r="AT114" s="234">
        <f>SMALL(AU114:BD114,AT$3)</f>
        <v>0.0001</v>
      </c>
      <c r="AU114" s="235">
        <f>IF(Z114="  ",0+MID(Z$6,FIND("V",Z$6)+1,256)/10000,Z114+MID(Z$6,FIND("V",Z$6)+1,256)/10000)</f>
        <v>0.0001</v>
      </c>
      <c r="AV114" s="235">
        <f>IF(AA114="  ",0+MID(AA$6,FIND("V",AA$6)+1,256)/10000,AA114+MID(AA$6,FIND("V",AA$6)+1,256)/10000)</f>
        <v>0.0002</v>
      </c>
      <c r="AW114" s="235">
        <f>IF(AB114="  ",0+MID(AB$6,FIND("V",AB$6)+1,256)/10000,AB114+MID(AB$6,FIND("V",AB$6)+1,256)/10000)</f>
        <v>0.0003</v>
      </c>
      <c r="AX114" s="235">
        <f>IF(AC114="  ",0+MID(AC$6,FIND("V",AC$6)+1,256)/10000,AC114+MID(AC$6,FIND("V",AC$6)+1,256)/10000)</f>
        <v>0.0004</v>
      </c>
      <c r="AY114" s="235">
        <f>IF(AD114="  ",0+MID(AD$6,FIND("V",AD$6)+1,256)/10000,AD114+MID(AD$6,FIND("V",AD$6)+1,256)/10000)</f>
        <v>0.0005</v>
      </c>
      <c r="AZ114" s="235">
        <f>IF(AE114="  ",0+MID(AE$6,FIND("V",AE$6)+1,256)/10000,AE114+MID(AE$6,FIND("V",AE$6)+1,256)/10000)</f>
        <v>0.0006</v>
      </c>
      <c r="BA114" s="235">
        <f>IF(AF114="  ",0+MID(AF$6,FIND("V",AF$6)+1,256)/10000,AF114+MID(AF$6,FIND("V",AF$6)+1,256)/10000)</f>
        <v>0.0007</v>
      </c>
      <c r="BB114" s="235">
        <f>IF(AG114="  ",0+MID(AG$6,FIND("V",AG$6)+1,256)/10000,AG114+MID(AG$6,FIND("V",AG$6)+1,256)/10000)</f>
        <v>0.0008</v>
      </c>
      <c r="BC114" s="235">
        <f>IF(AH114="  ",0+MID(AH$6,FIND("V",AH$6)+1,256)/10000,AH114+MID(AH$6,FIND("V",AH$6)+1,256)/10000)</f>
        <v>0.0009</v>
      </c>
      <c r="BD114" s="235">
        <f>IF(AI114="  ",0+MID(AI$6,FIND("V",AI$6)+1,256)/10000,AI114+MID(AI$6,FIND("V",AI$6)+1,256)/10000)</f>
        <v>0.001</v>
      </c>
      <c r="BE114" s="233"/>
      <c r="BF114" s="233"/>
      <c r="BG114" s="233"/>
      <c r="BH114" s="233"/>
      <c r="BI114" s="3" t="e">
        <f>(LARGE(Z$7:Z$126,1)-Z114)/2+1</f>
        <v>#VALUE!</v>
      </c>
      <c r="BJ114" s="3" t="e">
        <f>(LARGE(AA$7:AA$126,1)-AA114)/2+1</f>
        <v>#VALUE!</v>
      </c>
      <c r="BK114" s="3" t="e">
        <f>(LARGE(AB$7:AB$126,1)-AB114)/2+1</f>
        <v>#VALUE!</v>
      </c>
      <c r="BL114" s="3" t="e">
        <f>(LARGE(AC$7:AC$126,1)-AC114)/2+1</f>
        <v>#VALUE!</v>
      </c>
      <c r="BM114" s="3" t="e">
        <f>(LARGE(AD$7:AD$126,1)-AD114)/2+1</f>
        <v>#VALUE!</v>
      </c>
      <c r="BN114" s="3" t="e">
        <f>(LARGE(AE$7:AE$126,1)-AE114)/2+1</f>
        <v>#VALUE!</v>
      </c>
      <c r="BO114" s="3" t="e">
        <f>(LARGE(AF$7:AF$126,1)-AF114)/2+1</f>
        <v>#VALUE!</v>
      </c>
      <c r="BP114" s="3" t="e">
        <f>(LARGE(AG$7:AG$126,1)-AG114)/2+1</f>
        <v>#VALUE!</v>
      </c>
      <c r="BQ114" s="3" t="e">
        <f>(LARGE(AH$7:AH$126,1)-AH114)/2+1</f>
        <v>#NUM!</v>
      </c>
      <c r="BR114" s="3" t="e">
        <f>(LARGE(AI$7:AI$126,1)-AI114)/2+1</f>
        <v>#NUM!</v>
      </c>
    </row>
    <row r="115" ht="12.75" hidden="1" customHeight="1" spans="1:70">
      <c r="A115" s="139" t="str">
        <f>IF(R115&gt;0,IF(Q115="Viru SK",RANK(B115,B$7:B$126,1)-COUNTIF((Q$7:Q$126),"&lt;&gt;Viru SK"),""),"")</f>
        <v/>
      </c>
      <c r="B115" s="140">
        <f>IF((Q115="Viru SK"),U115,U115-1000)</f>
        <v>-880</v>
      </c>
      <c r="C115" s="141" t="str">
        <f>IF(R115&gt;0,IF(P115="t",RANK(D115,D$7:D$126,1)-COUNTBLANK(P$7:P$126),""),"")</f>
        <v/>
      </c>
      <c r="D115" s="142">
        <f>IF((P115="t"),U115,U115-1000)</f>
        <v>-880</v>
      </c>
      <c r="E115" s="143" t="str">
        <f>IF(R115&gt;0,IF(N115="m",RANK(F115,F$7:F$126,1)-COUNTBLANK(N$7:N$126),""),"")</f>
        <v/>
      </c>
      <c r="F115" s="144">
        <f>IF((N115="m"),U115,U115-1000)</f>
        <v>120</v>
      </c>
      <c r="G115" s="145" t="str">
        <f>IF(R115&gt;0,IF(M115="n",RANK(H115,H$7:H$126,1)-COUNTBLANK(M$7:M$126),""),"")</f>
        <v/>
      </c>
      <c r="H115" s="144">
        <f>IF((M115="n"),U115,U115-1000)</f>
        <v>-880</v>
      </c>
      <c r="I115" s="160" t="str">
        <f>IF(R115&gt;0,IF(O115="j",RANK(J115,J$7:J$126,1)-COUNTBLANK(O$7:O$126),""),"")</f>
        <v/>
      </c>
      <c r="J115" s="161">
        <f>IF((O115="j"),U115,U115-1000)</f>
        <v>-880</v>
      </c>
      <c r="K115" s="162" t="str">
        <f>IF(R115&gt;0,RANK(U115,U$7:U$126,1),"")</f>
        <v/>
      </c>
      <c r="L115" s="163" t="s">
        <v>308</v>
      </c>
      <c r="M115" s="164"/>
      <c r="N115" s="165" t="s">
        <v>193</v>
      </c>
      <c r="O115" s="166"/>
      <c r="P115" s="167"/>
      <c r="Q115" s="192"/>
      <c r="R115" s="154">
        <f>(IF(COUNT(Z115,AA115,AB115,AC115,AD115,AE115,AF115,AG115,AH115,AI115)&lt;10,SUM(Z115,AA115,AB115,AC115,AD115,AE115,AF115,AG115,AH115,AI115),SUM(LARGE((Z115,AA115,AB115,AC115,AD115,AE115,AF115,AG115,AH115,AI115),{1;2;3;4;5;6;7;8;9}))))</f>
        <v>0</v>
      </c>
      <c r="S115" s="193" t="str">
        <f>INDEX(ETAPP!B$1:B$32,MATCH(COUNTIF(BI115:BR115,1),ETAPP!A$1:A$32,0))&amp;INDEX(ETAPP!B$1:B$32,MATCH(COUNTIF(BI115:BR115,2),ETAPP!A$1:A$32,0))&amp;INDEX(ETAPP!B$1:B$32,MATCH(COUNTIF(BI115:BR115,3),ETAPP!A$1:A$32,0))&amp;INDEX(ETAPP!B$1:B$32,MATCH(COUNTIF(BI115:BR115,4),ETAPP!A$1:A$32,0))&amp;INDEX(ETAPP!B$1:B$32,MATCH(COUNTIF(BI115:BR115,5),ETAPP!A$1:A$32,0))&amp;INDEX(ETAPP!B$1:B$32,MATCH(COUNTIF(BI115:BR115,6),ETAPP!A$1:A$32,0))&amp;INDEX(ETAPP!B$1:B$32,MATCH(COUNTIF(BI115:BR115,7),ETAPP!A$1:A$32,0))&amp;INDEX(ETAPP!B$1:B$32,MATCH(COUNTIF(BI115:BR115,8),ETAPP!A$1:A$32,0))&amp;INDEX(ETAPP!B$1:B$32,MATCH(COUNTIF(BI115:BR115,9),ETAPP!A$1:A$32,0))&amp;INDEX(ETAPP!B$1:B$32,MATCH(COUNTIF(BI115:BR115,10),ETAPP!A$1:A$32,0))&amp;INDEX(ETAPP!B$1:B$32,MATCH(COUNTIF(BI115:BR115,11),ETAPP!A$1:A$32,0))&amp;INDEX(ETAPP!B$1:B$32,MATCH(COUNTIF(BI115:BR115,12),ETAPP!A$1:A$32,0))&amp;INDEX(ETAPP!B$1:B$32,MATCH(COUNTIF(BI115:BR115,13),ETAPP!A$1:A$32,0))&amp;INDEX(ETAPP!B$1:B$32,MATCH(COUNTIF(BI115:BR115,14),ETAPP!A$1:A$32,0))&amp;INDEX(ETAPP!B$1:B$32,MATCH(COUNTIF(BI115:BR115,15),ETAPP!A$1:A$32,0))&amp;INDEX(ETAPP!B$1:B$32,MATCH(COUNTIF(BI115:BR115,16),ETAPP!A$1:A$32,0))&amp;INDEX(ETAPP!B$1:B$32,MATCH(COUNTIF(BI115:BR115,17),ETAPP!A$1:A$32,0))&amp;INDEX(ETAPP!B$1:B$32,MATCH(COUNTIF(BI115:BR115,18),ETAPP!A$1:A$32,0))&amp;INDEX(ETAPP!B$1:B$32,MATCH(COUNTIF(BI115:BR115,19),ETAPP!A$1:A$32,0))&amp;INDEX(ETAPP!B$1:B$32,MATCH(COUNTIF(BI115:BR115,20),ETAPP!A$1:A$32,0))&amp;INDEX(ETAPP!B$1:B$32,MATCH(COUNTIF(BI115:BR115,21),ETAPP!A$1:A$32,0))</f>
        <v>000000000000000000000</v>
      </c>
      <c r="T115" s="193" t="str">
        <f>TEXT(R115,"000,0")&amp;"-"&amp;S115</f>
        <v>000,0-000000000000000000000</v>
      </c>
      <c r="U115" s="193">
        <f>COUNTIF(T$7:T$126,"&gt;="&amp;T115)</f>
        <v>120</v>
      </c>
      <c r="V115" s="193">
        <f>COUNTIF(L$7:L$126,"&gt;="&amp;L115)</f>
        <v>27</v>
      </c>
      <c r="W115" s="193" t="str">
        <f>TEXT(R115,"000,0")&amp;"-"&amp;S115&amp;"-"&amp;TEXT(V115,"000")</f>
        <v>000,0-000000000000000000000-027</v>
      </c>
      <c r="X115" s="193">
        <f>COUNTIF(W$7:W$126,"&gt;="&amp;W115)</f>
        <v>109</v>
      </c>
      <c r="Y115" s="201">
        <f>RANK(X115,X$7:X$126,0)</f>
        <v>12</v>
      </c>
      <c r="Z115" s="202" t="str">
        <f>IFERROR(INDEX('V1'!C$300:C$400,MATCH("*"&amp;L115&amp;"*",'V1'!B$300:B$400,0)),"  ")</f>
        <v>  </v>
      </c>
      <c r="AA115" s="202" t="str">
        <f>IFERROR(INDEX('V2'!C$300:C$400,MATCH("*"&amp;L115&amp;"*",'V2'!B$300:B$400,0)),"  ")</f>
        <v>  </v>
      </c>
      <c r="AB115" s="202" t="str">
        <f>IFERROR(INDEX('V3'!C$300:C$400,MATCH("*"&amp;L115&amp;"*",'V3'!B$300:B$400,0)),"  ")</f>
        <v>  </v>
      </c>
      <c r="AC115" s="202" t="str">
        <f>IFERROR(INDEX('V4'!C$300:C$400,MATCH("*"&amp;L115&amp;"*",'V4'!B$300:B$400,0)),"  ")</f>
        <v>  </v>
      </c>
      <c r="AD115" s="202" t="str">
        <f>IFERROR(INDEX('V5'!C$300:C$400,MATCH("*"&amp;L115&amp;"*",'V5'!B$300:B$400,0)),"  ")</f>
        <v>  </v>
      </c>
      <c r="AE115" s="202" t="str">
        <f>IFERROR(INDEX('V6'!C$300:C$400,MATCH("*"&amp;L115&amp;"*",'V6'!B$300:B$400,0)),"  ")</f>
        <v>  </v>
      </c>
      <c r="AF115" s="202" t="str">
        <f>IFERROR(INDEX('V7'!C$300:C$400,MATCH("*"&amp;L115&amp;"*",'V7'!B$300:B$400,0)),"  ")</f>
        <v>  </v>
      </c>
      <c r="AG115" s="202" t="str">
        <f>IFERROR(INDEX('V8'!C$300:C$400,MATCH("*"&amp;L115&amp;"*",'V8'!B$300:B$400,0)),"  ")</f>
        <v>  </v>
      </c>
      <c r="AH115" s="202"/>
      <c r="AI115" s="202"/>
      <c r="AJ115" s="222" t="str">
        <f>IF(AN115&gt;(AT$2-1),K115,"")</f>
        <v/>
      </c>
      <c r="AK115" s="223">
        <f>SUM(Z115:AI115)</f>
        <v>0</v>
      </c>
      <c r="AL115" s="224" t="str">
        <f>IFERROR("edasi "&amp;RANK(AJ115,AJ$7:AJ$126,1),K115)</f>
        <v/>
      </c>
      <c r="AM115" s="225" t="str">
        <f>IFERROR(INDEX(#REF!,MATCH("*"&amp;L115&amp;"*",#REF!,0)),"  ")</f>
        <v>  </v>
      </c>
      <c r="AN115" s="226">
        <f>COUNTIF(Z115:AI115,"&gt;=0")</f>
        <v>0</v>
      </c>
      <c r="AO115" s="126">
        <f>IFERROR(IF(Z115+1&gt;LARGE(Z$7:Z$126,1)-2*LEN(Z$5),1),0)+IFERROR(IF(AA115+1&gt;LARGE(AA$7:AA$126,1)-2*LEN(AA$5),1),0)+IFERROR(IF(AB115+1&gt;LARGE(AB$7:AB$126,1)-2*LEN(AB$5),1),0)+IFERROR(IF(AC115+1&gt;LARGE(AC$7:AC$126,1)-2*LEN(AC$5),1),0)+IFERROR(IF(AD115+1&gt;LARGE(AD$7:AD$126,1)-2*LEN(AD$5),1),0)+IFERROR(IF(AE115+1&gt;LARGE(AE$7:AE$126,1)-2*LEN(AE$5),1),0)+IFERROR(IF(AF115+1&gt;LARGE(AF$7:AF$126,1)-2*LEN(AF$5),1),0)+IFERROR(IF(AG115+1&gt;LARGE(AG$7:AG$126,1)-2*LEN(AG$5),1),0)+IFERROR(IF(AH115+1&gt;LARGE(AH$7:AH$126,1)-2*LEN(AH$5),1),0)+IFERROR(IF(AI115+1&gt;LARGE(AI$7:AI$126,1)-2*LEN(AI$5),1),0)</f>
        <v>0</v>
      </c>
      <c r="AP115" s="126">
        <f>IF(Z115=0,0,IF(Z115=IFERROR(LARGE(Z$7:Z$126,1),0),1,0))+IF(AA115=0,0,IF(AA115=IFERROR(LARGE(AA$7:AA$126,1),0),1,0))+IF(AB115=0,0,IF(AB115=IFERROR(LARGE(AB$7:AB$126,1),0),1,0))+IF(AC115=0,0,IF(AC115=IFERROR(LARGE(AC$7:AC$126,1),0),1,0))+IF(AD115=0,0,IF(AD115=IFERROR(LARGE(AD$7:AD$126,1),0),1,0))+IF(AE115=0,0,IF(AE115=IFERROR(LARGE(AE$7:AE$126,1),0),1,0))+IF(AF115=0,0,IF(AF115=IFERROR(LARGE(AF$7:AF$126,1),0),1,0))+IF(AG115=0,0,IF(AG115=IFERROR(LARGE(AG$7:AG$126,1),0),1,0))+IF(AH115=0,0,IF(AH115=IFERROR(LARGE(AH$7:AH$126,1),0),1,0))+IF(AI115=0,0,IF(AI115=IFERROR(LARGE(AI$7:AI$126,1),0),1,0))</f>
        <v>0</v>
      </c>
      <c r="AQ115" s="233"/>
      <c r="AR115" s="233"/>
      <c r="AS115" s="233"/>
      <c r="AT115" s="234">
        <f>SMALL(AU115:BD115,AT$3)</f>
        <v>0.0001</v>
      </c>
      <c r="AU115" s="235">
        <f>IF(Z115="  ",0+MID(Z$6,FIND("V",Z$6)+1,256)/10000,Z115+MID(Z$6,FIND("V",Z$6)+1,256)/10000)</f>
        <v>0.0001</v>
      </c>
      <c r="AV115" s="235">
        <f>IF(AA115="  ",0+MID(AA$6,FIND("V",AA$6)+1,256)/10000,AA115+MID(AA$6,FIND("V",AA$6)+1,256)/10000)</f>
        <v>0.0002</v>
      </c>
      <c r="AW115" s="235">
        <f>IF(AB115="  ",0+MID(AB$6,FIND("V",AB$6)+1,256)/10000,AB115+MID(AB$6,FIND("V",AB$6)+1,256)/10000)</f>
        <v>0.0003</v>
      </c>
      <c r="AX115" s="235">
        <f>IF(AC115="  ",0+MID(AC$6,FIND("V",AC$6)+1,256)/10000,AC115+MID(AC$6,FIND("V",AC$6)+1,256)/10000)</f>
        <v>0.0004</v>
      </c>
      <c r="AY115" s="235">
        <f>IF(AD115="  ",0+MID(AD$6,FIND("V",AD$6)+1,256)/10000,AD115+MID(AD$6,FIND("V",AD$6)+1,256)/10000)</f>
        <v>0.0005</v>
      </c>
      <c r="AZ115" s="235">
        <f>IF(AE115="  ",0+MID(AE$6,FIND("V",AE$6)+1,256)/10000,AE115+MID(AE$6,FIND("V",AE$6)+1,256)/10000)</f>
        <v>0.0006</v>
      </c>
      <c r="BA115" s="235">
        <f>IF(AF115="  ",0+MID(AF$6,FIND("V",AF$6)+1,256)/10000,AF115+MID(AF$6,FIND("V",AF$6)+1,256)/10000)</f>
        <v>0.0007</v>
      </c>
      <c r="BB115" s="235">
        <f>IF(AG115="  ",0+MID(AG$6,FIND("V",AG$6)+1,256)/10000,AG115+MID(AG$6,FIND("V",AG$6)+1,256)/10000)</f>
        <v>0.0008</v>
      </c>
      <c r="BC115" s="235">
        <f>IF(AH115="  ",0+MID(AH$6,FIND("V",AH$6)+1,256)/10000,AH115+MID(AH$6,FIND("V",AH$6)+1,256)/10000)</f>
        <v>0.0009</v>
      </c>
      <c r="BD115" s="235">
        <f>IF(AI115="  ",0+MID(AI$6,FIND("V",AI$6)+1,256)/10000,AI115+MID(AI$6,FIND("V",AI$6)+1,256)/10000)</f>
        <v>0.001</v>
      </c>
      <c r="BE115" s="233"/>
      <c r="BF115" s="233"/>
      <c r="BG115" s="233"/>
      <c r="BH115" s="233"/>
      <c r="BI115" s="3" t="e">
        <f>(LARGE(Z$7:Z$126,1)-Z115)/2+1</f>
        <v>#VALUE!</v>
      </c>
      <c r="BJ115" s="3" t="e">
        <f>(LARGE(AA$7:AA$126,1)-AA115)/2+1</f>
        <v>#VALUE!</v>
      </c>
      <c r="BK115" s="3" t="e">
        <f>(LARGE(AB$7:AB$126,1)-AB115)/2+1</f>
        <v>#VALUE!</v>
      </c>
      <c r="BL115" s="3" t="e">
        <f>(LARGE(AC$7:AC$126,1)-AC115)/2+1</f>
        <v>#VALUE!</v>
      </c>
      <c r="BM115" s="3" t="e">
        <f>(LARGE(AD$7:AD$126,1)-AD115)/2+1</f>
        <v>#VALUE!</v>
      </c>
      <c r="BN115" s="3" t="e">
        <f>(LARGE(AE$7:AE$126,1)-AE115)/2+1</f>
        <v>#VALUE!</v>
      </c>
      <c r="BO115" s="3" t="e">
        <f>(LARGE(AF$7:AF$126,1)-AF115)/2+1</f>
        <v>#VALUE!</v>
      </c>
      <c r="BP115" s="3" t="e">
        <f>(LARGE(AG$7:AG$126,1)-AG115)/2+1</f>
        <v>#VALUE!</v>
      </c>
      <c r="BQ115" s="3" t="e">
        <f>(LARGE(AH$7:AH$126,1)-AH115)/2+1</f>
        <v>#NUM!</v>
      </c>
      <c r="BR115" s="3" t="e">
        <f>(LARGE(AI$7:AI$126,1)-AI115)/2+1</f>
        <v>#NUM!</v>
      </c>
    </row>
    <row r="116" ht="12.75" hidden="1" customHeight="1" spans="1:70">
      <c r="A116" s="139" t="str">
        <f>IF(R116&gt;0,IF(Q116="Viru SK",RANK(B116,B$7:B$126,1)-COUNTIF((Q$7:Q$126),"&lt;&gt;Viru SK"),""),"")</f>
        <v/>
      </c>
      <c r="B116" s="140">
        <f>IF((Q116="Viru SK"),U116,U116-1000)</f>
        <v>-880</v>
      </c>
      <c r="C116" s="141" t="str">
        <f>IF(R116&gt;0,IF(P116="t",RANK(D116,D$7:D$126,1)-COUNTBLANK(P$7:P$126),""),"")</f>
        <v/>
      </c>
      <c r="D116" s="142">
        <f>IF((P116="t"),U116,U116-1000)</f>
        <v>-880</v>
      </c>
      <c r="E116" s="143" t="str">
        <f>IF(R116&gt;0,IF(N116="m",RANK(F116,F$7:F$126,1)-COUNTBLANK(N$7:N$126),""),"")</f>
        <v/>
      </c>
      <c r="F116" s="144">
        <f>IF((N116="m"),U116,U116-1000)</f>
        <v>120</v>
      </c>
      <c r="G116" s="145" t="str">
        <f>IF(R116&gt;0,IF(M116="n",RANK(H116,H$7:H$126,1)-COUNTBLANK(M$7:M$126),""),"")</f>
        <v/>
      </c>
      <c r="H116" s="144">
        <f>IF((M116="n"),U116,U116-1000)</f>
        <v>-880</v>
      </c>
      <c r="I116" s="160" t="str">
        <f>IF(R116&gt;0,IF(O116="j",RANK(J116,J$7:J$126,1)-COUNTBLANK(O$7:O$126),""),"")</f>
        <v/>
      </c>
      <c r="J116" s="161">
        <f>IF((O116="j"),U116,U116-1000)</f>
        <v>-880</v>
      </c>
      <c r="K116" s="162" t="str">
        <f>IF(R116&gt;0,RANK(U116,U$7:U$126,1),"")</f>
        <v/>
      </c>
      <c r="L116" s="163" t="s">
        <v>309</v>
      </c>
      <c r="M116" s="164"/>
      <c r="N116" s="165" t="s">
        <v>193</v>
      </c>
      <c r="O116" s="166"/>
      <c r="P116" s="167"/>
      <c r="Q116" s="192" t="s">
        <v>274</v>
      </c>
      <c r="R116" s="154">
        <f>(IF(COUNT(Z116,AA116,AB116,AC116,AD116,AE116,AF116,AG116,AH116,AI116)&lt;10,SUM(Z116,AA116,AB116,AC116,AD116,AE116,AF116,AG116,AH116,AI116),SUM(LARGE((Z116,AA116,AB116,AC116,AD116,AE116,AF116,AG116,AH116,AI116),{1;2;3;4;5;6;7;8;9}))))</f>
        <v>0</v>
      </c>
      <c r="S116" s="193" t="str">
        <f>INDEX(ETAPP!B$1:B$32,MATCH(COUNTIF(BI116:BR116,1),ETAPP!A$1:A$32,0))&amp;INDEX(ETAPP!B$1:B$32,MATCH(COUNTIF(BI116:BR116,2),ETAPP!A$1:A$32,0))&amp;INDEX(ETAPP!B$1:B$32,MATCH(COUNTIF(BI116:BR116,3),ETAPP!A$1:A$32,0))&amp;INDEX(ETAPP!B$1:B$32,MATCH(COUNTIF(BI116:BR116,4),ETAPP!A$1:A$32,0))&amp;INDEX(ETAPP!B$1:B$32,MATCH(COUNTIF(BI116:BR116,5),ETAPP!A$1:A$32,0))&amp;INDEX(ETAPP!B$1:B$32,MATCH(COUNTIF(BI116:BR116,6),ETAPP!A$1:A$32,0))&amp;INDEX(ETAPP!B$1:B$32,MATCH(COUNTIF(BI116:BR116,7),ETAPP!A$1:A$32,0))&amp;INDEX(ETAPP!B$1:B$32,MATCH(COUNTIF(BI116:BR116,8),ETAPP!A$1:A$32,0))&amp;INDEX(ETAPP!B$1:B$32,MATCH(COUNTIF(BI116:BR116,9),ETAPP!A$1:A$32,0))&amp;INDEX(ETAPP!B$1:B$32,MATCH(COUNTIF(BI116:BR116,10),ETAPP!A$1:A$32,0))&amp;INDEX(ETAPP!B$1:B$32,MATCH(COUNTIF(BI116:BR116,11),ETAPP!A$1:A$32,0))&amp;INDEX(ETAPP!B$1:B$32,MATCH(COUNTIF(BI116:BR116,12),ETAPP!A$1:A$32,0))&amp;INDEX(ETAPP!B$1:B$32,MATCH(COUNTIF(BI116:BR116,13),ETAPP!A$1:A$32,0))&amp;INDEX(ETAPP!B$1:B$32,MATCH(COUNTIF(BI116:BR116,14),ETAPP!A$1:A$32,0))&amp;INDEX(ETAPP!B$1:B$32,MATCH(COUNTIF(BI116:BR116,15),ETAPP!A$1:A$32,0))&amp;INDEX(ETAPP!B$1:B$32,MATCH(COUNTIF(BI116:BR116,16),ETAPP!A$1:A$32,0))&amp;INDEX(ETAPP!B$1:B$32,MATCH(COUNTIF(BI116:BR116,17),ETAPP!A$1:A$32,0))&amp;INDEX(ETAPP!B$1:B$32,MATCH(COUNTIF(BI116:BR116,18),ETAPP!A$1:A$32,0))&amp;INDEX(ETAPP!B$1:B$32,MATCH(COUNTIF(BI116:BR116,19),ETAPP!A$1:A$32,0))&amp;INDEX(ETAPP!B$1:B$32,MATCH(COUNTIF(BI116:BR116,20),ETAPP!A$1:A$32,0))&amp;INDEX(ETAPP!B$1:B$32,MATCH(COUNTIF(BI116:BR116,21),ETAPP!A$1:A$32,0))</f>
        <v>000000000000000000000</v>
      </c>
      <c r="T116" s="193" t="str">
        <f>TEXT(R116,"000,0")&amp;"-"&amp;S116</f>
        <v>000,0-000000000000000000000</v>
      </c>
      <c r="U116" s="193">
        <f>COUNTIF(T$7:T$126,"&gt;="&amp;T116)</f>
        <v>120</v>
      </c>
      <c r="V116" s="193">
        <f>COUNTIF(L$7:L$126,"&gt;="&amp;L116)</f>
        <v>26</v>
      </c>
      <c r="W116" s="193" t="str">
        <f>TEXT(R116,"000,0")&amp;"-"&amp;S116&amp;"-"&amp;TEXT(V116,"000")</f>
        <v>000,0-000000000000000000000-026</v>
      </c>
      <c r="X116" s="193">
        <f>COUNTIF(W$7:W$126,"&gt;="&amp;W116)</f>
        <v>110</v>
      </c>
      <c r="Y116" s="201">
        <f>RANK(X116,X$7:X$126,0)</f>
        <v>11</v>
      </c>
      <c r="Z116" s="202" t="str">
        <f>IFERROR(INDEX('V1'!C$300:C$400,MATCH("*"&amp;L116&amp;"*",'V1'!B$300:B$400,0)),"  ")</f>
        <v>  </v>
      </c>
      <c r="AA116" s="202" t="str">
        <f>IFERROR(INDEX('V2'!C$300:C$400,MATCH("*"&amp;L116&amp;"*",'V2'!B$300:B$400,0)),"  ")</f>
        <v>  </v>
      </c>
      <c r="AB116" s="202" t="str">
        <f>IFERROR(INDEX('V3'!C$300:C$400,MATCH("*"&amp;L116&amp;"*",'V3'!B$300:B$400,0)),"  ")</f>
        <v>  </v>
      </c>
      <c r="AC116" s="202" t="str">
        <f>IFERROR(INDEX('V4'!C$300:C$400,MATCH("*"&amp;L116&amp;"*",'V4'!B$300:B$400,0)),"  ")</f>
        <v>  </v>
      </c>
      <c r="AD116" s="202" t="str">
        <f>IFERROR(INDEX('V5'!C$300:C$400,MATCH("*"&amp;L116&amp;"*",'V5'!B$300:B$400,0)),"  ")</f>
        <v>  </v>
      </c>
      <c r="AE116" s="202" t="str">
        <f>IFERROR(INDEX('V6'!C$300:C$400,MATCH("*"&amp;L116&amp;"*",'V6'!B$300:B$400,0)),"  ")</f>
        <v>  </v>
      </c>
      <c r="AF116" s="202" t="str">
        <f>IFERROR(INDEX('V7'!C$300:C$400,MATCH("*"&amp;L116&amp;"*",'V7'!B$300:B$400,0)),"  ")</f>
        <v>  </v>
      </c>
      <c r="AG116" s="202" t="str">
        <f>IFERROR(INDEX('V8'!C$300:C$400,MATCH("*"&amp;L116&amp;"*",'V8'!B$300:B$400,0)),"  ")</f>
        <v>  </v>
      </c>
      <c r="AH116" s="202"/>
      <c r="AI116" s="202"/>
      <c r="AJ116" s="222" t="str">
        <f>IF(AN116&gt;(AT$2-1),K116,"")</f>
        <v/>
      </c>
      <c r="AK116" s="223">
        <f>SUM(Z116:AI116)</f>
        <v>0</v>
      </c>
      <c r="AL116" s="224" t="str">
        <f>IFERROR("edasi "&amp;RANK(AJ116,AJ$7:AJ$126,1),K116)</f>
        <v/>
      </c>
      <c r="AM116" s="225" t="str">
        <f>IFERROR(INDEX(#REF!,MATCH("*"&amp;L116&amp;"*",#REF!,0)),"  ")</f>
        <v>  </v>
      </c>
      <c r="AN116" s="226">
        <f>COUNTIF(Z116:AI116,"&gt;=0")</f>
        <v>0</v>
      </c>
      <c r="AO116" s="126">
        <f>IFERROR(IF(Z116+1&gt;LARGE(Z$7:Z$126,1)-2*LEN(Z$5),1),0)+IFERROR(IF(AA116+1&gt;LARGE(AA$7:AA$126,1)-2*LEN(AA$5),1),0)+IFERROR(IF(AB116+1&gt;LARGE(AB$7:AB$126,1)-2*LEN(AB$5),1),0)+IFERROR(IF(AC116+1&gt;LARGE(AC$7:AC$126,1)-2*LEN(AC$5),1),0)+IFERROR(IF(AD116+1&gt;LARGE(AD$7:AD$126,1)-2*LEN(AD$5),1),0)+IFERROR(IF(AE116+1&gt;LARGE(AE$7:AE$126,1)-2*LEN(AE$5),1),0)+IFERROR(IF(AF116+1&gt;LARGE(AF$7:AF$126,1)-2*LEN(AF$5),1),0)+IFERROR(IF(AG116+1&gt;LARGE(AG$7:AG$126,1)-2*LEN(AG$5),1),0)+IFERROR(IF(AH116+1&gt;LARGE(AH$7:AH$126,1)-2*LEN(AH$5),1),0)+IFERROR(IF(AI116+1&gt;LARGE(AI$7:AI$126,1)-2*LEN(AI$5),1),0)</f>
        <v>0</v>
      </c>
      <c r="AP116" s="126">
        <f>IF(Z116=0,0,IF(Z116=IFERROR(LARGE(Z$7:Z$126,1),0),1,0))+IF(AA116=0,0,IF(AA116=IFERROR(LARGE(AA$7:AA$126,1),0),1,0))+IF(AB116=0,0,IF(AB116=IFERROR(LARGE(AB$7:AB$126,1),0),1,0))+IF(AC116=0,0,IF(AC116=IFERROR(LARGE(AC$7:AC$126,1),0),1,0))+IF(AD116=0,0,IF(AD116=IFERROR(LARGE(AD$7:AD$126,1),0),1,0))+IF(AE116=0,0,IF(AE116=IFERROR(LARGE(AE$7:AE$126,1),0),1,0))+IF(AF116=0,0,IF(AF116=IFERROR(LARGE(AF$7:AF$126,1),0),1,0))+IF(AG116=0,0,IF(AG116=IFERROR(LARGE(AG$7:AG$126,1),0),1,0))+IF(AH116=0,0,IF(AH116=IFERROR(LARGE(AH$7:AH$126,1),0),1,0))+IF(AI116=0,0,IF(AI116=IFERROR(LARGE(AI$7:AI$126,1),0),1,0))</f>
        <v>0</v>
      </c>
      <c r="AQ116" s="233"/>
      <c r="AR116" s="233"/>
      <c r="AS116" s="233"/>
      <c r="AT116" s="234">
        <f>SMALL(AU116:BD116,AT$3)</f>
        <v>0.0001</v>
      </c>
      <c r="AU116" s="235">
        <f>IF(Z116="  ",0+MID(Z$6,FIND("V",Z$6)+1,256)/10000,Z116+MID(Z$6,FIND("V",Z$6)+1,256)/10000)</f>
        <v>0.0001</v>
      </c>
      <c r="AV116" s="235">
        <f>IF(AA116="  ",0+MID(AA$6,FIND("V",AA$6)+1,256)/10000,AA116+MID(AA$6,FIND("V",AA$6)+1,256)/10000)</f>
        <v>0.0002</v>
      </c>
      <c r="AW116" s="235">
        <f>IF(AB116="  ",0+MID(AB$6,FIND("V",AB$6)+1,256)/10000,AB116+MID(AB$6,FIND("V",AB$6)+1,256)/10000)</f>
        <v>0.0003</v>
      </c>
      <c r="AX116" s="235">
        <f>IF(AC116="  ",0+MID(AC$6,FIND("V",AC$6)+1,256)/10000,AC116+MID(AC$6,FIND("V",AC$6)+1,256)/10000)</f>
        <v>0.0004</v>
      </c>
      <c r="AY116" s="235">
        <f>IF(AD116="  ",0+MID(AD$6,FIND("V",AD$6)+1,256)/10000,AD116+MID(AD$6,FIND("V",AD$6)+1,256)/10000)</f>
        <v>0.0005</v>
      </c>
      <c r="AZ116" s="235">
        <f>IF(AE116="  ",0+MID(AE$6,FIND("V",AE$6)+1,256)/10000,AE116+MID(AE$6,FIND("V",AE$6)+1,256)/10000)</f>
        <v>0.0006</v>
      </c>
      <c r="BA116" s="235">
        <f>IF(AF116="  ",0+MID(AF$6,FIND("V",AF$6)+1,256)/10000,AF116+MID(AF$6,FIND("V",AF$6)+1,256)/10000)</f>
        <v>0.0007</v>
      </c>
      <c r="BB116" s="235">
        <f>IF(AG116="  ",0+MID(AG$6,FIND("V",AG$6)+1,256)/10000,AG116+MID(AG$6,FIND("V",AG$6)+1,256)/10000)</f>
        <v>0.0008</v>
      </c>
      <c r="BC116" s="235">
        <f>IF(AH116="  ",0+MID(AH$6,FIND("V",AH$6)+1,256)/10000,AH116+MID(AH$6,FIND("V",AH$6)+1,256)/10000)</f>
        <v>0.0009</v>
      </c>
      <c r="BD116" s="235">
        <f>IF(AI116="  ",0+MID(AI$6,FIND("V",AI$6)+1,256)/10000,AI116+MID(AI$6,FIND("V",AI$6)+1,256)/10000)</f>
        <v>0.001</v>
      </c>
      <c r="BE116" s="233"/>
      <c r="BF116" s="233"/>
      <c r="BG116" s="233"/>
      <c r="BH116" s="233"/>
      <c r="BI116" s="3" t="e">
        <f>(LARGE(Z$7:Z$126,1)-Z116)/2+1</f>
        <v>#VALUE!</v>
      </c>
      <c r="BJ116" s="3" t="e">
        <f>(LARGE(AA$7:AA$126,1)-AA116)/2+1</f>
        <v>#VALUE!</v>
      </c>
      <c r="BK116" s="3" t="e">
        <f>(LARGE(AB$7:AB$126,1)-AB116)/2+1</f>
        <v>#VALUE!</v>
      </c>
      <c r="BL116" s="3" t="e">
        <f>(LARGE(AC$7:AC$126,1)-AC116)/2+1</f>
        <v>#VALUE!</v>
      </c>
      <c r="BM116" s="3" t="e">
        <f>(LARGE(AD$7:AD$126,1)-AD116)/2+1</f>
        <v>#VALUE!</v>
      </c>
      <c r="BN116" s="3" t="e">
        <f>(LARGE(AE$7:AE$126,1)-AE116)/2+1</f>
        <v>#VALUE!</v>
      </c>
      <c r="BO116" s="3" t="e">
        <f>(LARGE(AF$7:AF$126,1)-AF116)/2+1</f>
        <v>#VALUE!</v>
      </c>
      <c r="BP116" s="3" t="e">
        <f>(LARGE(AG$7:AG$126,1)-AG116)/2+1</f>
        <v>#VALUE!</v>
      </c>
      <c r="BQ116" s="3" t="e">
        <f>(LARGE(AH$7:AH$126,1)-AH116)/2+1</f>
        <v>#NUM!</v>
      </c>
      <c r="BR116" s="3" t="e">
        <f>(LARGE(AI$7:AI$126,1)-AI116)/2+1</f>
        <v>#NUM!</v>
      </c>
    </row>
    <row r="117" ht="12.75" hidden="1" customHeight="1" spans="1:70">
      <c r="A117" s="139" t="str">
        <f>IF(R117&gt;0,IF(Q117="Viru SK",RANK(B117,B$7:B$126,1)-COUNTIF((Q$7:Q$126),"&lt;&gt;Viru SK"),""),"")</f>
        <v/>
      </c>
      <c r="B117" s="140">
        <f>IF((Q117="Viru SK"),U117,U117-1000)</f>
        <v>-880</v>
      </c>
      <c r="C117" s="141" t="str">
        <f>IF(R117&gt;0,IF(P117="t",RANK(D117,D$7:D$126,1)-COUNTBLANK(P$7:P$126),""),"")</f>
        <v/>
      </c>
      <c r="D117" s="142">
        <f>IF((P117="t"),U117,U117-1000)</f>
        <v>120</v>
      </c>
      <c r="E117" s="143" t="str">
        <f>IF(R117&gt;0,IF(N117="m",RANK(F117,F$7:F$126,1)-COUNTBLANK(N$7:N$126),""),"")</f>
        <v/>
      </c>
      <c r="F117" s="144">
        <f>IF((N117="m"),U117,U117-1000)</f>
        <v>120</v>
      </c>
      <c r="G117" s="145" t="str">
        <f>IF(R117&gt;0,IF(M117="n",RANK(H117,H$7:H$126,1)-COUNTBLANK(M$7:M$126),""),"")</f>
        <v/>
      </c>
      <c r="H117" s="144">
        <f>IF((M117="n"),U117,U117-1000)</f>
        <v>-880</v>
      </c>
      <c r="I117" s="160" t="str">
        <f>IF(R117&gt;0,IF(O117="j",RANK(J117,J$7:J$126,1)-COUNTBLANK(O$7:O$126),""),"")</f>
        <v/>
      </c>
      <c r="J117" s="161">
        <f>IF((O117="j"),U117,U117-1000)</f>
        <v>-880</v>
      </c>
      <c r="K117" s="162" t="str">
        <f>IF(R117&gt;0,RANK(U117,U$7:U$126,1),"")</f>
        <v/>
      </c>
      <c r="L117" s="242" t="s">
        <v>310</v>
      </c>
      <c r="M117" s="164"/>
      <c r="N117" s="165" t="str">
        <f>IF(M117="","m","")</f>
        <v>m</v>
      </c>
      <c r="O117" s="166"/>
      <c r="P117" s="167" t="s">
        <v>196</v>
      </c>
      <c r="Q117" s="192"/>
      <c r="R117" s="154">
        <f>(IF(COUNT(Z117,AA117,AB117,AC117,AD117,AE117,AF117,AG117,AH117,AI117)&lt;10,SUM(Z117,AA117,AB117,AC117,AD117,AE117,AF117,AG117,AH117,AI117),SUM(LARGE((Z117,AA117,AB117,AC117,AD117,AE117,AF117,AG117,AH117,AI117),{1;2;3;4;5;6;7;8;9}))))</f>
        <v>0</v>
      </c>
      <c r="S117" s="193" t="str">
        <f>INDEX(ETAPP!B$1:B$32,MATCH(COUNTIF(BI117:BR117,1),ETAPP!A$1:A$32,0))&amp;INDEX(ETAPP!B$1:B$32,MATCH(COUNTIF(BI117:BR117,2),ETAPP!A$1:A$32,0))&amp;INDEX(ETAPP!B$1:B$32,MATCH(COUNTIF(BI117:BR117,3),ETAPP!A$1:A$32,0))&amp;INDEX(ETAPP!B$1:B$32,MATCH(COUNTIF(BI117:BR117,4),ETAPP!A$1:A$32,0))&amp;INDEX(ETAPP!B$1:B$32,MATCH(COUNTIF(BI117:BR117,5),ETAPP!A$1:A$32,0))&amp;INDEX(ETAPP!B$1:B$32,MATCH(COUNTIF(BI117:BR117,6),ETAPP!A$1:A$32,0))&amp;INDEX(ETAPP!B$1:B$32,MATCH(COUNTIF(BI117:BR117,7),ETAPP!A$1:A$32,0))&amp;INDEX(ETAPP!B$1:B$32,MATCH(COUNTIF(BI117:BR117,8),ETAPP!A$1:A$32,0))&amp;INDEX(ETAPP!B$1:B$32,MATCH(COUNTIF(BI117:BR117,9),ETAPP!A$1:A$32,0))&amp;INDEX(ETAPP!B$1:B$32,MATCH(COUNTIF(BI117:BR117,10),ETAPP!A$1:A$32,0))&amp;INDEX(ETAPP!B$1:B$32,MATCH(COUNTIF(BI117:BR117,11),ETAPP!A$1:A$32,0))&amp;INDEX(ETAPP!B$1:B$32,MATCH(COUNTIF(BI117:BR117,12),ETAPP!A$1:A$32,0))&amp;INDEX(ETAPP!B$1:B$32,MATCH(COUNTIF(BI117:BR117,13),ETAPP!A$1:A$32,0))&amp;INDEX(ETAPP!B$1:B$32,MATCH(COUNTIF(BI117:BR117,14),ETAPP!A$1:A$32,0))&amp;INDEX(ETAPP!B$1:B$32,MATCH(COUNTIF(BI117:BR117,15),ETAPP!A$1:A$32,0))&amp;INDEX(ETAPP!B$1:B$32,MATCH(COUNTIF(BI117:BR117,16),ETAPP!A$1:A$32,0))&amp;INDEX(ETAPP!B$1:B$32,MATCH(COUNTIF(BI117:BR117,17),ETAPP!A$1:A$32,0))&amp;INDEX(ETAPP!B$1:B$32,MATCH(COUNTIF(BI117:BR117,18),ETAPP!A$1:A$32,0))&amp;INDEX(ETAPP!B$1:B$32,MATCH(COUNTIF(BI117:BR117,19),ETAPP!A$1:A$32,0))&amp;INDEX(ETAPP!B$1:B$32,MATCH(COUNTIF(BI117:BR117,20),ETAPP!A$1:A$32,0))&amp;INDEX(ETAPP!B$1:B$32,MATCH(COUNTIF(BI117:BR117,21),ETAPP!A$1:A$32,0))</f>
        <v>000000000000000000000</v>
      </c>
      <c r="T117" s="193" t="str">
        <f>TEXT(R117,"000,0")&amp;"-"&amp;S117</f>
        <v>000,0-000000000000000000000</v>
      </c>
      <c r="U117" s="193">
        <f>COUNTIF(T$7:T$126,"&gt;="&amp;T117)</f>
        <v>120</v>
      </c>
      <c r="V117" s="193">
        <f>COUNTIF(L$7:L$126,"&gt;="&amp;L117)</f>
        <v>22</v>
      </c>
      <c r="W117" s="193" t="str">
        <f>TEXT(R117,"000,0")&amp;"-"&amp;S117&amp;"-"&amp;TEXT(V117,"000")</f>
        <v>000,0-000000000000000000000-022</v>
      </c>
      <c r="X117" s="193">
        <f>COUNTIF(W$7:W$126,"&gt;="&amp;W117)</f>
        <v>111</v>
      </c>
      <c r="Y117" s="201">
        <f>RANK(X117,X$7:X$126,0)</f>
        <v>10</v>
      </c>
      <c r="Z117" s="202" t="str">
        <f>IFERROR(INDEX('V1'!C$300:C$400,MATCH("*"&amp;L117&amp;"*",'V1'!B$300:B$400,0)),"  ")</f>
        <v>  </v>
      </c>
      <c r="AA117" s="202" t="str">
        <f>IFERROR(INDEX('V2'!C$300:C$400,MATCH("*"&amp;L117&amp;"*",'V2'!B$300:B$400,0)),"  ")</f>
        <v>  </v>
      </c>
      <c r="AB117" s="202" t="str">
        <f>IFERROR(INDEX('V3'!C$300:C$400,MATCH("*"&amp;L117&amp;"*",'V3'!B$300:B$400,0)),"  ")</f>
        <v>  </v>
      </c>
      <c r="AC117" s="202" t="str">
        <f>IFERROR(INDEX('V4'!C$300:C$400,MATCH("*"&amp;L117&amp;"*",'V4'!B$300:B$400,0)),"  ")</f>
        <v>  </v>
      </c>
      <c r="AD117" s="202" t="str">
        <f>IFERROR(INDEX('V5'!C$300:C$400,MATCH("*"&amp;L117&amp;"*",'V5'!B$300:B$400,0)),"  ")</f>
        <v>  </v>
      </c>
      <c r="AE117" s="202" t="str">
        <f>IFERROR(INDEX('V6'!C$300:C$400,MATCH("*"&amp;L117&amp;"*",'V6'!B$300:B$400,0)),"  ")</f>
        <v>  </v>
      </c>
      <c r="AF117" s="202" t="str">
        <f>IFERROR(INDEX('V7'!C$300:C$400,MATCH("*"&amp;L117&amp;"*",'V7'!B$300:B$400,0)),"  ")</f>
        <v>  </v>
      </c>
      <c r="AG117" s="202" t="str">
        <f>IFERROR(INDEX('V8'!C$300:C$400,MATCH("*"&amp;L117&amp;"*",'V8'!B$300:B$400,0)),"  ")</f>
        <v>  </v>
      </c>
      <c r="AH117" s="202"/>
      <c r="AI117" s="202"/>
      <c r="AJ117" s="222" t="str">
        <f>IF(AN117&gt;(AT$2-1),K117,"")</f>
        <v/>
      </c>
      <c r="AK117" s="223">
        <f>SUM(Z117:AI117)</f>
        <v>0</v>
      </c>
      <c r="AL117" s="224" t="str">
        <f>IFERROR("edasi "&amp;RANK(AJ117,AJ$7:AJ$126,1),K117)</f>
        <v/>
      </c>
      <c r="AM117" s="225" t="str">
        <f>IFERROR(INDEX(#REF!,MATCH("*"&amp;L117&amp;"*",#REF!,0)),"  ")</f>
        <v>  </v>
      </c>
      <c r="AN117" s="226">
        <f>COUNTIF(Z117:AI117,"&gt;=0")</f>
        <v>0</v>
      </c>
      <c r="AO117" s="126">
        <f>IFERROR(IF(Z117+1&gt;LARGE(Z$7:Z$126,1)-2*LEN(Z$5),1),0)+IFERROR(IF(AA117+1&gt;LARGE(AA$7:AA$126,1)-2*LEN(AA$5),1),0)+IFERROR(IF(AB117+1&gt;LARGE(AB$7:AB$126,1)-2*LEN(AB$5),1),0)+IFERROR(IF(AC117+1&gt;LARGE(AC$7:AC$126,1)-2*LEN(AC$5),1),0)+IFERROR(IF(AD117+1&gt;LARGE(AD$7:AD$126,1)-2*LEN(AD$5),1),0)+IFERROR(IF(AE117+1&gt;LARGE(AE$7:AE$126,1)-2*LEN(AE$5),1),0)+IFERROR(IF(AF117+1&gt;LARGE(AF$7:AF$126,1)-2*LEN(AF$5),1),0)+IFERROR(IF(AG117+1&gt;LARGE(AG$7:AG$126,1)-2*LEN(AG$5),1),0)+IFERROR(IF(AH117+1&gt;LARGE(AH$7:AH$126,1)-2*LEN(AH$5),1),0)+IFERROR(IF(AI117+1&gt;LARGE(AI$7:AI$126,1)-2*LEN(AI$5),1),0)</f>
        <v>0</v>
      </c>
      <c r="AP117" s="126">
        <f>IF(Z117=0,0,IF(Z117=IFERROR(LARGE(Z$7:Z$126,1),0),1,0))+IF(AA117=0,0,IF(AA117=IFERROR(LARGE(AA$7:AA$126,1),0),1,0))+IF(AB117=0,0,IF(AB117=IFERROR(LARGE(AB$7:AB$126,1),0),1,0))+IF(AC117=0,0,IF(AC117=IFERROR(LARGE(AC$7:AC$126,1),0),1,0))+IF(AD117=0,0,IF(AD117=IFERROR(LARGE(AD$7:AD$126,1),0),1,0))+IF(AE117=0,0,IF(AE117=IFERROR(LARGE(AE$7:AE$126,1),0),1,0))+IF(AF117=0,0,IF(AF117=IFERROR(LARGE(AF$7:AF$126,1),0),1,0))+IF(AG117=0,0,IF(AG117=IFERROR(LARGE(AG$7:AG$126,1),0),1,0))+IF(AH117=0,0,IF(AH117=IFERROR(LARGE(AH$7:AH$126,1),0),1,0))+IF(AI117=0,0,IF(AI117=IFERROR(LARGE(AI$7:AI$126,1),0),1,0))</f>
        <v>0</v>
      </c>
      <c r="AQ117" s="233"/>
      <c r="AR117" s="233"/>
      <c r="AS117" s="233"/>
      <c r="AT117" s="234">
        <f>SMALL(AU117:BD117,AT$3)</f>
        <v>0.0001</v>
      </c>
      <c r="AU117" s="235">
        <f>IF(Z117="  ",0+MID(Z$6,FIND("V",Z$6)+1,256)/10000,Z117+MID(Z$6,FIND("V",Z$6)+1,256)/10000)</f>
        <v>0.0001</v>
      </c>
      <c r="AV117" s="235">
        <f>IF(AA117="  ",0+MID(AA$6,FIND("V",AA$6)+1,256)/10000,AA117+MID(AA$6,FIND("V",AA$6)+1,256)/10000)</f>
        <v>0.0002</v>
      </c>
      <c r="AW117" s="235">
        <f>IF(AB117="  ",0+MID(AB$6,FIND("V",AB$6)+1,256)/10000,AB117+MID(AB$6,FIND("V",AB$6)+1,256)/10000)</f>
        <v>0.0003</v>
      </c>
      <c r="AX117" s="235">
        <f>IF(AC117="  ",0+MID(AC$6,FIND("V",AC$6)+1,256)/10000,AC117+MID(AC$6,FIND("V",AC$6)+1,256)/10000)</f>
        <v>0.0004</v>
      </c>
      <c r="AY117" s="235">
        <f>IF(AD117="  ",0+MID(AD$6,FIND("V",AD$6)+1,256)/10000,AD117+MID(AD$6,FIND("V",AD$6)+1,256)/10000)</f>
        <v>0.0005</v>
      </c>
      <c r="AZ117" s="235">
        <f>IF(AE117="  ",0+MID(AE$6,FIND("V",AE$6)+1,256)/10000,AE117+MID(AE$6,FIND("V",AE$6)+1,256)/10000)</f>
        <v>0.0006</v>
      </c>
      <c r="BA117" s="235">
        <f>IF(AF117="  ",0+MID(AF$6,FIND("V",AF$6)+1,256)/10000,AF117+MID(AF$6,FIND("V",AF$6)+1,256)/10000)</f>
        <v>0.0007</v>
      </c>
      <c r="BB117" s="235">
        <f>IF(AG117="  ",0+MID(AG$6,FIND("V",AG$6)+1,256)/10000,AG117+MID(AG$6,FIND("V",AG$6)+1,256)/10000)</f>
        <v>0.0008</v>
      </c>
      <c r="BC117" s="235">
        <f>IF(AH117="  ",0+MID(AH$6,FIND("V",AH$6)+1,256)/10000,AH117+MID(AH$6,FIND("V",AH$6)+1,256)/10000)</f>
        <v>0.0009</v>
      </c>
      <c r="BD117" s="235">
        <f>IF(AI117="  ",0+MID(AI$6,FIND("V",AI$6)+1,256)/10000,AI117+MID(AI$6,FIND("V",AI$6)+1,256)/10000)</f>
        <v>0.001</v>
      </c>
      <c r="BE117" s="233"/>
      <c r="BF117" s="233"/>
      <c r="BG117" s="233"/>
      <c r="BH117" s="233"/>
      <c r="BI117" s="3" t="e">
        <f>(LARGE(Z$7:Z$126,1)-Z117)/2+1</f>
        <v>#VALUE!</v>
      </c>
      <c r="BJ117" s="3" t="e">
        <f>(LARGE(AA$7:AA$126,1)-AA117)/2+1</f>
        <v>#VALUE!</v>
      </c>
      <c r="BK117" s="3" t="e">
        <f>(LARGE(AB$7:AB$126,1)-AB117)/2+1</f>
        <v>#VALUE!</v>
      </c>
      <c r="BL117" s="3" t="e">
        <f>(LARGE(AC$7:AC$126,1)-AC117)/2+1</f>
        <v>#VALUE!</v>
      </c>
      <c r="BM117" s="3" t="e">
        <f>(LARGE(AD$7:AD$126,1)-AD117)/2+1</f>
        <v>#VALUE!</v>
      </c>
      <c r="BN117" s="3" t="e">
        <f>(LARGE(AE$7:AE$126,1)-AE117)/2+1</f>
        <v>#VALUE!</v>
      </c>
      <c r="BO117" s="3" t="e">
        <f>(LARGE(AF$7:AF$126,1)-AF117)/2+1</f>
        <v>#VALUE!</v>
      </c>
      <c r="BP117" s="3" t="e">
        <f>(LARGE(AG$7:AG$126,1)-AG117)/2+1</f>
        <v>#VALUE!</v>
      </c>
      <c r="BQ117" s="3" t="e">
        <f>(LARGE(AH$7:AH$126,1)-AH117)/2+1</f>
        <v>#NUM!</v>
      </c>
      <c r="BR117" s="3" t="e">
        <f>(LARGE(AI$7:AI$126,1)-AI117)/2+1</f>
        <v>#NUM!</v>
      </c>
    </row>
    <row r="118" ht="12.75" hidden="1" customHeight="1" spans="1:70">
      <c r="A118" s="139" t="str">
        <f>IF(R118&gt;0,IF(Q118="Viru SK",RANK(B118,B$7:B$126,1)-COUNTIF((Q$7:Q$126),"&lt;&gt;Viru SK"),""),"")</f>
        <v/>
      </c>
      <c r="B118" s="140">
        <f>IF((Q118="Viru SK"),U118,U118-1000)</f>
        <v>-880</v>
      </c>
      <c r="C118" s="141" t="str">
        <f>IF(R118&gt;0,IF(P118="t",RANK(D118,D$7:D$126,1)-COUNTBLANK(P$7:P$126),""),"")</f>
        <v/>
      </c>
      <c r="D118" s="142">
        <f>IF((P118="t"),U118,U118-1000)</f>
        <v>120</v>
      </c>
      <c r="E118" s="143" t="str">
        <f>IF(R118&gt;0,IF(N118="m",RANK(F118,F$7:F$126,1)-COUNTBLANK(N$7:N$126),""),"")</f>
        <v/>
      </c>
      <c r="F118" s="144">
        <f>IF((N118="m"),U118,U118-1000)</f>
        <v>120</v>
      </c>
      <c r="G118" s="145" t="str">
        <f>IF(R118&gt;0,IF(M118="n",RANK(H118,H$7:H$126,1)-COUNTBLANK(M$7:M$126),""),"")</f>
        <v/>
      </c>
      <c r="H118" s="144">
        <f>IF((M118="n"),U118,U118-1000)</f>
        <v>-880</v>
      </c>
      <c r="I118" s="160" t="str">
        <f>IF(R118&gt;0,IF(O118="j",RANK(J118,J$7:J$126,1)-COUNTBLANK(O$7:O$126),""),"")</f>
        <v/>
      </c>
      <c r="J118" s="161">
        <f>IF((O118="j"),U118,U118-1000)</f>
        <v>-880</v>
      </c>
      <c r="K118" s="162" t="str">
        <f>IF(R118&gt;0,RANK(U118,U$7:U$126,1),"")</f>
        <v/>
      </c>
      <c r="L118" s="163" t="s">
        <v>311</v>
      </c>
      <c r="M118" s="164"/>
      <c r="N118" s="165" t="str">
        <f>IF(M118="","m","")</f>
        <v>m</v>
      </c>
      <c r="O118" s="166"/>
      <c r="P118" s="167" t="s">
        <v>196</v>
      </c>
      <c r="Q118" s="192"/>
      <c r="R118" s="154">
        <f>(IF(COUNT(Z118,AA118,AB118,AC118,AD118,AE118,AF118,AG118,AH118,AI118)&lt;10,SUM(Z118,AA118,AB118,AC118,AD118,AE118,AF118,AG118,AH118,AI118),SUM(LARGE((Z118,AA118,AB118,AC118,AD118,AE118,AF118,AG118,AH118,AI118),{1;2;3;4;5;6;7;8;9}))))</f>
        <v>0</v>
      </c>
      <c r="S118" s="193" t="str">
        <f>INDEX(ETAPP!B$1:B$32,MATCH(COUNTIF(BI118:BR118,1),ETAPP!A$1:A$32,0))&amp;INDEX(ETAPP!B$1:B$32,MATCH(COUNTIF(BI118:BR118,2),ETAPP!A$1:A$32,0))&amp;INDEX(ETAPP!B$1:B$32,MATCH(COUNTIF(BI118:BR118,3),ETAPP!A$1:A$32,0))&amp;INDEX(ETAPP!B$1:B$32,MATCH(COUNTIF(BI118:BR118,4),ETAPP!A$1:A$32,0))&amp;INDEX(ETAPP!B$1:B$32,MATCH(COUNTIF(BI118:BR118,5),ETAPP!A$1:A$32,0))&amp;INDEX(ETAPP!B$1:B$32,MATCH(COUNTIF(BI118:BR118,6),ETAPP!A$1:A$32,0))&amp;INDEX(ETAPP!B$1:B$32,MATCH(COUNTIF(BI118:BR118,7),ETAPP!A$1:A$32,0))&amp;INDEX(ETAPP!B$1:B$32,MATCH(COUNTIF(BI118:BR118,8),ETAPP!A$1:A$32,0))&amp;INDEX(ETAPP!B$1:B$32,MATCH(COUNTIF(BI118:BR118,9),ETAPP!A$1:A$32,0))&amp;INDEX(ETAPP!B$1:B$32,MATCH(COUNTIF(BI118:BR118,10),ETAPP!A$1:A$32,0))&amp;INDEX(ETAPP!B$1:B$32,MATCH(COUNTIF(BI118:BR118,11),ETAPP!A$1:A$32,0))&amp;INDEX(ETAPP!B$1:B$32,MATCH(COUNTIF(BI118:BR118,12),ETAPP!A$1:A$32,0))&amp;INDEX(ETAPP!B$1:B$32,MATCH(COUNTIF(BI118:BR118,13),ETAPP!A$1:A$32,0))&amp;INDEX(ETAPP!B$1:B$32,MATCH(COUNTIF(BI118:BR118,14),ETAPP!A$1:A$32,0))&amp;INDEX(ETAPP!B$1:B$32,MATCH(COUNTIF(BI118:BR118,15),ETAPP!A$1:A$32,0))&amp;INDEX(ETAPP!B$1:B$32,MATCH(COUNTIF(BI118:BR118,16),ETAPP!A$1:A$32,0))&amp;INDEX(ETAPP!B$1:B$32,MATCH(COUNTIF(BI118:BR118,17),ETAPP!A$1:A$32,0))&amp;INDEX(ETAPP!B$1:B$32,MATCH(COUNTIF(BI118:BR118,18),ETAPP!A$1:A$32,0))&amp;INDEX(ETAPP!B$1:B$32,MATCH(COUNTIF(BI118:BR118,19),ETAPP!A$1:A$32,0))&amp;INDEX(ETAPP!B$1:B$32,MATCH(COUNTIF(BI118:BR118,20),ETAPP!A$1:A$32,0))&amp;INDEX(ETAPP!B$1:B$32,MATCH(COUNTIF(BI118:BR118,21),ETAPP!A$1:A$32,0))</f>
        <v>000000000000000000000</v>
      </c>
      <c r="T118" s="193" t="str">
        <f>TEXT(R118,"000,0")&amp;"-"&amp;S118</f>
        <v>000,0-000000000000000000000</v>
      </c>
      <c r="U118" s="193">
        <f>COUNTIF(T$7:T$126,"&gt;="&amp;T118)</f>
        <v>120</v>
      </c>
      <c r="V118" s="193">
        <f>COUNTIF(L$7:L$126,"&gt;="&amp;L118)</f>
        <v>19</v>
      </c>
      <c r="W118" s="193" t="str">
        <f>TEXT(R118,"000,0")&amp;"-"&amp;S118&amp;"-"&amp;TEXT(V118,"000")</f>
        <v>000,0-000000000000000000000-019</v>
      </c>
      <c r="X118" s="193">
        <f>COUNTIF(W$7:W$126,"&gt;="&amp;W118)</f>
        <v>112</v>
      </c>
      <c r="Y118" s="201">
        <f>RANK(X118,X$7:X$126,0)</f>
        <v>9</v>
      </c>
      <c r="Z118" s="202" t="str">
        <f>IFERROR(INDEX('V1'!C$300:C$400,MATCH("*"&amp;L118&amp;"*",'V1'!B$300:B$400,0)),"  ")</f>
        <v>  </v>
      </c>
      <c r="AA118" s="202" t="str">
        <f>IFERROR(INDEX('V2'!C$300:C$400,MATCH("*"&amp;L118&amp;"*",'V2'!B$300:B$400,0)),"  ")</f>
        <v>  </v>
      </c>
      <c r="AB118" s="202" t="str">
        <f>IFERROR(INDEX('V3'!C$300:C$400,MATCH("*"&amp;L118&amp;"*",'V3'!B$300:B$400,0)),"  ")</f>
        <v>  </v>
      </c>
      <c r="AC118" s="202" t="str">
        <f>IFERROR(INDEX('V4'!C$300:C$400,MATCH("*"&amp;L118&amp;"*",'V4'!B$300:B$400,0)),"  ")</f>
        <v>  </v>
      </c>
      <c r="AD118" s="202" t="str">
        <f>IFERROR(INDEX('V5'!C$300:C$400,MATCH("*"&amp;L118&amp;"*",'V5'!B$300:B$400,0)),"  ")</f>
        <v>  </v>
      </c>
      <c r="AE118" s="202" t="str">
        <f>IFERROR(INDEX('V6'!C$300:C$400,MATCH("*"&amp;L118&amp;"*",'V6'!B$300:B$400,0)),"  ")</f>
        <v>  </v>
      </c>
      <c r="AF118" s="202" t="str">
        <f>IFERROR(INDEX('V7'!C$300:C$400,MATCH("*"&amp;L118&amp;"*",'V7'!B$300:B$400,0)),"  ")</f>
        <v>  </v>
      </c>
      <c r="AG118" s="202" t="str">
        <f>IFERROR(INDEX('V8'!C$300:C$400,MATCH("*"&amp;L118&amp;"*",'V8'!B$300:B$400,0)),"  ")</f>
        <v>  </v>
      </c>
      <c r="AH118" s="202"/>
      <c r="AI118" s="202"/>
      <c r="AJ118" s="222" t="str">
        <f>IF(AN118&gt;(AT$2-1),K118,"")</f>
        <v/>
      </c>
      <c r="AK118" s="223">
        <f>SUM(Z118:AI118)</f>
        <v>0</v>
      </c>
      <c r="AL118" s="224" t="str">
        <f>IFERROR("edasi "&amp;RANK(AJ118,AJ$7:AJ$126,1),K118)</f>
        <v/>
      </c>
      <c r="AM118" s="225" t="str">
        <f>IFERROR(INDEX(#REF!,MATCH("*"&amp;L118&amp;"*",#REF!,0)),"  ")</f>
        <v>  </v>
      </c>
      <c r="AN118" s="226">
        <f>COUNTIF(Z118:AI118,"&gt;=0")</f>
        <v>0</v>
      </c>
      <c r="AO118" s="126">
        <f>IFERROR(IF(Z118+1&gt;LARGE(Z$7:Z$126,1)-2*LEN(Z$5),1),0)+IFERROR(IF(AA118+1&gt;LARGE(AA$7:AA$126,1)-2*LEN(AA$5),1),0)+IFERROR(IF(AB118+1&gt;LARGE(AB$7:AB$126,1)-2*LEN(AB$5),1),0)+IFERROR(IF(AC118+1&gt;LARGE(AC$7:AC$126,1)-2*LEN(AC$5),1),0)+IFERROR(IF(AD118+1&gt;LARGE(AD$7:AD$126,1)-2*LEN(AD$5),1),0)+IFERROR(IF(AE118+1&gt;LARGE(AE$7:AE$126,1)-2*LEN(AE$5),1),0)+IFERROR(IF(AF118+1&gt;LARGE(AF$7:AF$126,1)-2*LEN(AF$5),1),0)+IFERROR(IF(AG118+1&gt;LARGE(AG$7:AG$126,1)-2*LEN(AG$5),1),0)+IFERROR(IF(AH118+1&gt;LARGE(AH$7:AH$126,1)-2*LEN(AH$5),1),0)+IFERROR(IF(AI118+1&gt;LARGE(AI$7:AI$126,1)-2*LEN(AI$5),1),0)</f>
        <v>0</v>
      </c>
      <c r="AP118" s="126">
        <f>IF(Z118=0,0,IF(Z118=IFERROR(LARGE(Z$7:Z$126,1),0),1,0))+IF(AA118=0,0,IF(AA118=IFERROR(LARGE(AA$7:AA$126,1),0),1,0))+IF(AB118=0,0,IF(AB118=IFERROR(LARGE(AB$7:AB$126,1),0),1,0))+IF(AC118=0,0,IF(AC118=IFERROR(LARGE(AC$7:AC$126,1),0),1,0))+IF(AD118=0,0,IF(AD118=IFERROR(LARGE(AD$7:AD$126,1),0),1,0))+IF(AE118=0,0,IF(AE118=IFERROR(LARGE(AE$7:AE$126,1),0),1,0))+IF(AF118=0,0,IF(AF118=IFERROR(LARGE(AF$7:AF$126,1),0),1,0))+IF(AG118=0,0,IF(AG118=IFERROR(LARGE(AG$7:AG$126,1),0),1,0))+IF(AH118=0,0,IF(AH118=IFERROR(LARGE(AH$7:AH$126,1),0),1,0))+IF(AI118=0,0,IF(AI118=IFERROR(LARGE(AI$7:AI$126,1),0),1,0))</f>
        <v>0</v>
      </c>
      <c r="AQ118" s="233"/>
      <c r="AR118" s="233"/>
      <c r="AS118" s="233"/>
      <c r="AT118" s="234">
        <f>SMALL(AU118:BD118,AT$3)</f>
        <v>0.0001</v>
      </c>
      <c r="AU118" s="235">
        <f>IF(Z118="  ",0+MID(Z$6,FIND("V",Z$6)+1,256)/10000,Z118+MID(Z$6,FIND("V",Z$6)+1,256)/10000)</f>
        <v>0.0001</v>
      </c>
      <c r="AV118" s="235">
        <f>IF(AA118="  ",0+MID(AA$6,FIND("V",AA$6)+1,256)/10000,AA118+MID(AA$6,FIND("V",AA$6)+1,256)/10000)</f>
        <v>0.0002</v>
      </c>
      <c r="AW118" s="235">
        <f>IF(AB118="  ",0+MID(AB$6,FIND("V",AB$6)+1,256)/10000,AB118+MID(AB$6,FIND("V",AB$6)+1,256)/10000)</f>
        <v>0.0003</v>
      </c>
      <c r="AX118" s="235">
        <f>IF(AC118="  ",0+MID(AC$6,FIND("V",AC$6)+1,256)/10000,AC118+MID(AC$6,FIND("V",AC$6)+1,256)/10000)</f>
        <v>0.0004</v>
      </c>
      <c r="AY118" s="235">
        <f>IF(AD118="  ",0+MID(AD$6,FIND("V",AD$6)+1,256)/10000,AD118+MID(AD$6,FIND("V",AD$6)+1,256)/10000)</f>
        <v>0.0005</v>
      </c>
      <c r="AZ118" s="235">
        <f>IF(AE118="  ",0+MID(AE$6,FIND("V",AE$6)+1,256)/10000,AE118+MID(AE$6,FIND("V",AE$6)+1,256)/10000)</f>
        <v>0.0006</v>
      </c>
      <c r="BA118" s="235">
        <f>IF(AF118="  ",0+MID(AF$6,FIND("V",AF$6)+1,256)/10000,AF118+MID(AF$6,FIND("V",AF$6)+1,256)/10000)</f>
        <v>0.0007</v>
      </c>
      <c r="BB118" s="235">
        <f>IF(AG118="  ",0+MID(AG$6,FIND("V",AG$6)+1,256)/10000,AG118+MID(AG$6,FIND("V",AG$6)+1,256)/10000)</f>
        <v>0.0008</v>
      </c>
      <c r="BC118" s="235">
        <f>IF(AH118="  ",0+MID(AH$6,FIND("V",AH$6)+1,256)/10000,AH118+MID(AH$6,FIND("V",AH$6)+1,256)/10000)</f>
        <v>0.0009</v>
      </c>
      <c r="BD118" s="235">
        <f>IF(AI118="  ",0+MID(AI$6,FIND("V",AI$6)+1,256)/10000,AI118+MID(AI$6,FIND("V",AI$6)+1,256)/10000)</f>
        <v>0.001</v>
      </c>
      <c r="BE118" s="233"/>
      <c r="BF118" s="233"/>
      <c r="BG118" s="233"/>
      <c r="BH118" s="233"/>
      <c r="BI118" s="3" t="e">
        <f>(LARGE(Z$7:Z$126,1)-Z118)/2+1</f>
        <v>#VALUE!</v>
      </c>
      <c r="BJ118" s="3" t="e">
        <f>(LARGE(AA$7:AA$126,1)-AA118)/2+1</f>
        <v>#VALUE!</v>
      </c>
      <c r="BK118" s="3" t="e">
        <f>(LARGE(AB$7:AB$126,1)-AB118)/2+1</f>
        <v>#VALUE!</v>
      </c>
      <c r="BL118" s="3" t="e">
        <f>(LARGE(AC$7:AC$126,1)-AC118)/2+1</f>
        <v>#VALUE!</v>
      </c>
      <c r="BM118" s="3" t="e">
        <f>(LARGE(AD$7:AD$126,1)-AD118)/2+1</f>
        <v>#VALUE!</v>
      </c>
      <c r="BN118" s="3" t="e">
        <f>(LARGE(AE$7:AE$126,1)-AE118)/2+1</f>
        <v>#VALUE!</v>
      </c>
      <c r="BO118" s="3" t="e">
        <f>(LARGE(AF$7:AF$126,1)-AF118)/2+1</f>
        <v>#VALUE!</v>
      </c>
      <c r="BP118" s="3" t="e">
        <f>(LARGE(AG$7:AG$126,1)-AG118)/2+1</f>
        <v>#VALUE!</v>
      </c>
      <c r="BQ118" s="3" t="e">
        <f>(LARGE(AH$7:AH$126,1)-AH118)/2+1</f>
        <v>#NUM!</v>
      </c>
      <c r="BR118" s="3" t="e">
        <f>(LARGE(AI$7:AI$126,1)-AI118)/2+1</f>
        <v>#NUM!</v>
      </c>
    </row>
    <row r="119" ht="12.75" hidden="1" customHeight="1" spans="1:70">
      <c r="A119" s="139" t="str">
        <f>IF(R119&gt;0,IF(Q119="Viru SK",RANK(B119,B$7:B$126,1)-COUNTIF((Q$7:Q$126),"&lt;&gt;Viru SK"),""),"")</f>
        <v/>
      </c>
      <c r="B119" s="140">
        <f>IF((Q119="Viru SK"),U119,U119-1000)</f>
        <v>-880</v>
      </c>
      <c r="C119" s="141" t="str">
        <f>IF(R119&gt;0,IF(P119="t",RANK(D119,D$7:D$126,1)-COUNTBLANK(P$7:P$126),""),"")</f>
        <v/>
      </c>
      <c r="D119" s="142">
        <f>IF((P119="t"),U119,U119-1000)</f>
        <v>-880</v>
      </c>
      <c r="E119" s="143" t="str">
        <f>IF(R119&gt;0,IF(N119="m",RANK(F119,F$7:F$126,1)-COUNTBLANK(N$7:N$126),""),"")</f>
        <v/>
      </c>
      <c r="F119" s="144">
        <f>IF((N119="m"),U119,U119-1000)</f>
        <v>120</v>
      </c>
      <c r="G119" s="145" t="str">
        <f>IF(R119&gt;0,IF(M119="n",RANK(H119,H$7:H$126,1)-COUNTBLANK(M$7:M$126),""),"")</f>
        <v/>
      </c>
      <c r="H119" s="144">
        <f>IF((M119="n"),U119,U119-1000)</f>
        <v>-880</v>
      </c>
      <c r="I119" s="160" t="str">
        <f>IF(R119&gt;0,IF(O119="j",RANK(J119,J$7:J$126,1)-COUNTBLANK(O$7:O$126),""),"")</f>
        <v/>
      </c>
      <c r="J119" s="161">
        <f>IF((O119="j"),U119,U119-1000)</f>
        <v>-880</v>
      </c>
      <c r="K119" s="162" t="str">
        <f>IF(R119&gt;0,RANK(U119,U$7:U$126,1),"")</f>
        <v/>
      </c>
      <c r="L119" s="163" t="s">
        <v>312</v>
      </c>
      <c r="M119" s="164"/>
      <c r="N119" s="165" t="s">
        <v>193</v>
      </c>
      <c r="O119" s="166"/>
      <c r="P119" s="167"/>
      <c r="Q119" s="192"/>
      <c r="R119" s="154">
        <f>(IF(COUNT(Z119,AA119,AB119,AC119,AD119,AE119,AF119,AG119,AH119,AI119)&lt;10,SUM(Z119,AA119,AB119,AC119,AD119,AE119,AF119,AG119,AH119,AI119),SUM(LARGE((Z119,AA119,AB119,AC119,AD119,AE119,AF119,AG119,AH119,AI119),{1;2;3;4;5;6;7;8;9}))))</f>
        <v>0</v>
      </c>
      <c r="S119" s="193" t="str">
        <f>INDEX(ETAPP!B$1:B$32,MATCH(COUNTIF(BI119:BR119,1),ETAPP!A$1:A$32,0))&amp;INDEX(ETAPP!B$1:B$32,MATCH(COUNTIF(BI119:BR119,2),ETAPP!A$1:A$32,0))&amp;INDEX(ETAPP!B$1:B$32,MATCH(COUNTIF(BI119:BR119,3),ETAPP!A$1:A$32,0))&amp;INDEX(ETAPP!B$1:B$32,MATCH(COUNTIF(BI119:BR119,4),ETAPP!A$1:A$32,0))&amp;INDEX(ETAPP!B$1:B$32,MATCH(COUNTIF(BI119:BR119,5),ETAPP!A$1:A$32,0))&amp;INDEX(ETAPP!B$1:B$32,MATCH(COUNTIF(BI119:BR119,6),ETAPP!A$1:A$32,0))&amp;INDEX(ETAPP!B$1:B$32,MATCH(COUNTIF(BI119:BR119,7),ETAPP!A$1:A$32,0))&amp;INDEX(ETAPP!B$1:B$32,MATCH(COUNTIF(BI119:BR119,8),ETAPP!A$1:A$32,0))&amp;INDEX(ETAPP!B$1:B$32,MATCH(COUNTIF(BI119:BR119,9),ETAPP!A$1:A$32,0))&amp;INDEX(ETAPP!B$1:B$32,MATCH(COUNTIF(BI119:BR119,10),ETAPP!A$1:A$32,0))&amp;INDEX(ETAPP!B$1:B$32,MATCH(COUNTIF(BI119:BR119,11),ETAPP!A$1:A$32,0))&amp;INDEX(ETAPP!B$1:B$32,MATCH(COUNTIF(BI119:BR119,12),ETAPP!A$1:A$32,0))&amp;INDEX(ETAPP!B$1:B$32,MATCH(COUNTIF(BI119:BR119,13),ETAPP!A$1:A$32,0))&amp;INDEX(ETAPP!B$1:B$32,MATCH(COUNTIF(BI119:BR119,14),ETAPP!A$1:A$32,0))&amp;INDEX(ETAPP!B$1:B$32,MATCH(COUNTIF(BI119:BR119,15),ETAPP!A$1:A$32,0))&amp;INDEX(ETAPP!B$1:B$32,MATCH(COUNTIF(BI119:BR119,16),ETAPP!A$1:A$32,0))&amp;INDEX(ETAPP!B$1:B$32,MATCH(COUNTIF(BI119:BR119,17),ETAPP!A$1:A$32,0))&amp;INDEX(ETAPP!B$1:B$32,MATCH(COUNTIF(BI119:BR119,18),ETAPP!A$1:A$32,0))&amp;INDEX(ETAPP!B$1:B$32,MATCH(COUNTIF(BI119:BR119,19),ETAPP!A$1:A$32,0))&amp;INDEX(ETAPP!B$1:B$32,MATCH(COUNTIF(BI119:BR119,20),ETAPP!A$1:A$32,0))&amp;INDEX(ETAPP!B$1:B$32,MATCH(COUNTIF(BI119:BR119,21),ETAPP!A$1:A$32,0))</f>
        <v>000000000000000000000</v>
      </c>
      <c r="T119" s="193" t="str">
        <f>TEXT(R119,"000,0")&amp;"-"&amp;S119</f>
        <v>000,0-000000000000000000000</v>
      </c>
      <c r="U119" s="193">
        <f>COUNTIF(T$7:T$126,"&gt;="&amp;T119)</f>
        <v>120</v>
      </c>
      <c r="V119" s="193">
        <f>COUNTIF(L$7:L$126,"&gt;="&amp;L119)</f>
        <v>18</v>
      </c>
      <c r="W119" s="193" t="str">
        <f>TEXT(R119,"000,0")&amp;"-"&amp;S119&amp;"-"&amp;TEXT(V119,"000")</f>
        <v>000,0-000000000000000000000-018</v>
      </c>
      <c r="X119" s="193">
        <f>COUNTIF(W$7:W$126,"&gt;="&amp;W119)</f>
        <v>113</v>
      </c>
      <c r="Y119" s="201">
        <f>RANK(X119,X$7:X$126,0)</f>
        <v>8</v>
      </c>
      <c r="Z119" s="202" t="str">
        <f>IFERROR(INDEX('V1'!C$300:C$400,MATCH("*"&amp;L119&amp;"*",'V1'!B$300:B$400,0)),"  ")</f>
        <v>  </v>
      </c>
      <c r="AA119" s="202" t="str">
        <f>IFERROR(INDEX('V2'!C$300:C$400,MATCH("*"&amp;L119&amp;"*",'V2'!B$300:B$400,0)),"  ")</f>
        <v>  </v>
      </c>
      <c r="AB119" s="202" t="str">
        <f>IFERROR(INDEX('V3'!C$300:C$400,MATCH("*"&amp;L119&amp;"*",'V3'!B$300:B$400,0)),"  ")</f>
        <v>  </v>
      </c>
      <c r="AC119" s="202" t="str">
        <f>IFERROR(INDEX('V4'!C$300:C$400,MATCH("*"&amp;L119&amp;"*",'V4'!B$300:B$400,0)),"  ")</f>
        <v>  </v>
      </c>
      <c r="AD119" s="202" t="str">
        <f>IFERROR(INDEX('V5'!C$300:C$400,MATCH("*"&amp;L119&amp;"*",'V5'!B$300:B$400,0)),"  ")</f>
        <v>  </v>
      </c>
      <c r="AE119" s="202" t="str">
        <f>IFERROR(INDEX('V6'!C$300:C$400,MATCH("*"&amp;L119&amp;"*",'V6'!B$300:B$400,0)),"  ")</f>
        <v>  </v>
      </c>
      <c r="AF119" s="202" t="str">
        <f>IFERROR(INDEX('V7'!C$300:C$400,MATCH("*"&amp;L119&amp;"*",'V7'!B$300:B$400,0)),"  ")</f>
        <v>  </v>
      </c>
      <c r="AG119" s="202" t="str">
        <f>IFERROR(INDEX('V8'!C$300:C$400,MATCH("*"&amp;L119&amp;"*",'V8'!B$300:B$400,0)),"  ")</f>
        <v>  </v>
      </c>
      <c r="AH119" s="202"/>
      <c r="AI119" s="202"/>
      <c r="AJ119" s="222" t="str">
        <f>IF(AN119&gt;(AT$2-1),K119,"")</f>
        <v/>
      </c>
      <c r="AK119" s="223">
        <f>SUM(Z119:AI119)</f>
        <v>0</v>
      </c>
      <c r="AL119" s="224" t="str">
        <f>IFERROR("edasi "&amp;RANK(AJ119,AJ$7:AJ$126,1),K119)</f>
        <v/>
      </c>
      <c r="AM119" s="225" t="str">
        <f>IFERROR(INDEX(#REF!,MATCH("*"&amp;L119&amp;"*",#REF!,0)),"  ")</f>
        <v>  </v>
      </c>
      <c r="AN119" s="226">
        <f>COUNTIF(Z119:AI119,"&gt;=0")</f>
        <v>0</v>
      </c>
      <c r="AO119" s="126">
        <f>IFERROR(IF(Z119+1&gt;LARGE(Z$7:Z$126,1)-2*LEN(Z$5),1),0)+IFERROR(IF(AA119+1&gt;LARGE(AA$7:AA$126,1)-2*LEN(AA$5),1),0)+IFERROR(IF(AB119+1&gt;LARGE(AB$7:AB$126,1)-2*LEN(AB$5),1),0)+IFERROR(IF(AC119+1&gt;LARGE(AC$7:AC$126,1)-2*LEN(AC$5),1),0)+IFERROR(IF(AD119+1&gt;LARGE(AD$7:AD$126,1)-2*LEN(AD$5),1),0)+IFERROR(IF(AE119+1&gt;LARGE(AE$7:AE$126,1)-2*LEN(AE$5),1),0)+IFERROR(IF(AF119+1&gt;LARGE(AF$7:AF$126,1)-2*LEN(AF$5),1),0)+IFERROR(IF(AG119+1&gt;LARGE(AG$7:AG$126,1)-2*LEN(AG$5),1),0)+IFERROR(IF(AH119+1&gt;LARGE(AH$7:AH$126,1)-2*LEN(AH$5),1),0)+IFERROR(IF(AI119+1&gt;LARGE(AI$7:AI$126,1)-2*LEN(AI$5),1),0)</f>
        <v>0</v>
      </c>
      <c r="AP119" s="126">
        <f>IF(Z119=0,0,IF(Z119=IFERROR(LARGE(Z$7:Z$126,1),0),1,0))+IF(AA119=0,0,IF(AA119=IFERROR(LARGE(AA$7:AA$126,1),0),1,0))+IF(AB119=0,0,IF(AB119=IFERROR(LARGE(AB$7:AB$126,1),0),1,0))+IF(AC119=0,0,IF(AC119=IFERROR(LARGE(AC$7:AC$126,1),0),1,0))+IF(AD119=0,0,IF(AD119=IFERROR(LARGE(AD$7:AD$126,1),0),1,0))+IF(AE119=0,0,IF(AE119=IFERROR(LARGE(AE$7:AE$126,1),0),1,0))+IF(AF119=0,0,IF(AF119=IFERROR(LARGE(AF$7:AF$126,1),0),1,0))+IF(AG119=0,0,IF(AG119=IFERROR(LARGE(AG$7:AG$126,1),0),1,0))+IF(AH119=0,0,IF(AH119=IFERROR(LARGE(AH$7:AH$126,1),0),1,0))+IF(AI119=0,0,IF(AI119=IFERROR(LARGE(AI$7:AI$126,1),0),1,0))</f>
        <v>0</v>
      </c>
      <c r="AQ119" s="233"/>
      <c r="AR119" s="233"/>
      <c r="AS119" s="233"/>
      <c r="AT119" s="234">
        <f>SMALL(AU119:BD119,AT$3)</f>
        <v>0.0001</v>
      </c>
      <c r="AU119" s="235">
        <f>IF(Z119="  ",0+MID(Z$6,FIND("V",Z$6)+1,256)/10000,Z119+MID(Z$6,FIND("V",Z$6)+1,256)/10000)</f>
        <v>0.0001</v>
      </c>
      <c r="AV119" s="235">
        <f>IF(AA119="  ",0+MID(AA$6,FIND("V",AA$6)+1,256)/10000,AA119+MID(AA$6,FIND("V",AA$6)+1,256)/10000)</f>
        <v>0.0002</v>
      </c>
      <c r="AW119" s="235">
        <f>IF(AB119="  ",0+MID(AB$6,FIND("V",AB$6)+1,256)/10000,AB119+MID(AB$6,FIND("V",AB$6)+1,256)/10000)</f>
        <v>0.0003</v>
      </c>
      <c r="AX119" s="235">
        <f>IF(AC119="  ",0+MID(AC$6,FIND("V",AC$6)+1,256)/10000,AC119+MID(AC$6,FIND("V",AC$6)+1,256)/10000)</f>
        <v>0.0004</v>
      </c>
      <c r="AY119" s="235">
        <f>IF(AD119="  ",0+MID(AD$6,FIND("V",AD$6)+1,256)/10000,AD119+MID(AD$6,FIND("V",AD$6)+1,256)/10000)</f>
        <v>0.0005</v>
      </c>
      <c r="AZ119" s="235">
        <f>IF(AE119="  ",0+MID(AE$6,FIND("V",AE$6)+1,256)/10000,AE119+MID(AE$6,FIND("V",AE$6)+1,256)/10000)</f>
        <v>0.0006</v>
      </c>
      <c r="BA119" s="235">
        <f>IF(AF119="  ",0+MID(AF$6,FIND("V",AF$6)+1,256)/10000,AF119+MID(AF$6,FIND("V",AF$6)+1,256)/10000)</f>
        <v>0.0007</v>
      </c>
      <c r="BB119" s="235">
        <f>IF(AG119="  ",0+MID(AG$6,FIND("V",AG$6)+1,256)/10000,AG119+MID(AG$6,FIND("V",AG$6)+1,256)/10000)</f>
        <v>0.0008</v>
      </c>
      <c r="BC119" s="235">
        <f>IF(AH119="  ",0+MID(AH$6,FIND("V",AH$6)+1,256)/10000,AH119+MID(AH$6,FIND("V",AH$6)+1,256)/10000)</f>
        <v>0.0009</v>
      </c>
      <c r="BD119" s="235">
        <f>IF(AI119="  ",0+MID(AI$6,FIND("V",AI$6)+1,256)/10000,AI119+MID(AI$6,FIND("V",AI$6)+1,256)/10000)</f>
        <v>0.001</v>
      </c>
      <c r="BE119" s="233"/>
      <c r="BF119" s="233"/>
      <c r="BG119" s="233"/>
      <c r="BH119" s="233"/>
      <c r="BI119" s="3" t="e">
        <f>(LARGE(Z$7:Z$126,1)-Z119)/2+1</f>
        <v>#VALUE!</v>
      </c>
      <c r="BJ119" s="3" t="e">
        <f>(LARGE(AA$7:AA$126,1)-AA119)/2+1</f>
        <v>#VALUE!</v>
      </c>
      <c r="BK119" s="3" t="e">
        <f>(LARGE(AB$7:AB$126,1)-AB119)/2+1</f>
        <v>#VALUE!</v>
      </c>
      <c r="BL119" s="3" t="e">
        <f>(LARGE(AC$7:AC$126,1)-AC119)/2+1</f>
        <v>#VALUE!</v>
      </c>
      <c r="BM119" s="3" t="e">
        <f>(LARGE(AD$7:AD$126,1)-AD119)/2+1</f>
        <v>#VALUE!</v>
      </c>
      <c r="BN119" s="3" t="e">
        <f>(LARGE(AE$7:AE$126,1)-AE119)/2+1</f>
        <v>#VALUE!</v>
      </c>
      <c r="BO119" s="3" t="e">
        <f>(LARGE(AF$7:AF$126,1)-AF119)/2+1</f>
        <v>#VALUE!</v>
      </c>
      <c r="BP119" s="3" t="e">
        <f>(LARGE(AG$7:AG$126,1)-AG119)/2+1</f>
        <v>#VALUE!</v>
      </c>
      <c r="BQ119" s="3" t="e">
        <f>(LARGE(AH$7:AH$126,1)-AH119)/2+1</f>
        <v>#NUM!</v>
      </c>
      <c r="BR119" s="3" t="e">
        <f>(LARGE(AI$7:AI$126,1)-AI119)/2+1</f>
        <v>#NUM!</v>
      </c>
    </row>
    <row r="120" ht="12.75" hidden="1" customHeight="1" spans="1:70">
      <c r="A120" s="139" t="str">
        <f>IF(R120&gt;0,IF(Q120="Viru SK",RANK(B120,B$7:B$126,1)-COUNTIF((Q$7:Q$126),"&lt;&gt;Viru SK"),""),"")</f>
        <v/>
      </c>
      <c r="B120" s="140">
        <f>IF((Q120="Viru SK"),U120,U120-1000)</f>
        <v>-880</v>
      </c>
      <c r="C120" s="141" t="str">
        <f>IF(R120&gt;0,IF(P120="t",RANK(D120,D$7:D$126,1)-COUNTBLANK(P$7:P$126),""),"")</f>
        <v/>
      </c>
      <c r="D120" s="142">
        <f>IF((P120="t"),U120,U120-1000)</f>
        <v>-880</v>
      </c>
      <c r="E120" s="143" t="str">
        <f>IF(R120&gt;0,IF(N120="m",RANK(F120,F$7:F$126,1)-COUNTBLANK(N$7:N$126),""),"")</f>
        <v/>
      </c>
      <c r="F120" s="144">
        <f>IF((N120="m"),U120,U120-1000)</f>
        <v>120</v>
      </c>
      <c r="G120" s="145" t="str">
        <f>IF(R120&gt;0,IF(M120="n",RANK(H120,H$7:H$126,1)-COUNTBLANK(M$7:M$126),""),"")</f>
        <v/>
      </c>
      <c r="H120" s="144">
        <f>IF((M120="n"),U120,U120-1000)</f>
        <v>-880</v>
      </c>
      <c r="I120" s="160" t="str">
        <f>IF(R120&gt;0,IF(O120="j",RANK(J120,J$7:J$126,1)-COUNTBLANK(O$7:O$126),""),"")</f>
        <v/>
      </c>
      <c r="J120" s="161">
        <f>IF((O120="j"),U120,U120-1000)</f>
        <v>-880</v>
      </c>
      <c r="K120" s="162" t="str">
        <f>IF(R120&gt;0,RANK(U120,U$7:U$126,1),"")</f>
        <v/>
      </c>
      <c r="L120" s="163" t="s">
        <v>313</v>
      </c>
      <c r="M120" s="164"/>
      <c r="N120" s="165" t="s">
        <v>193</v>
      </c>
      <c r="O120" s="166"/>
      <c r="P120" s="167"/>
      <c r="Q120" s="192" t="s">
        <v>274</v>
      </c>
      <c r="R120" s="154">
        <f>(IF(COUNT(Z120,AA120,AB120,AC120,AD120,AE120,AF120,AG120,AH120,AI120)&lt;10,SUM(Z120,AA120,AB120,AC120,AD120,AE120,AF120,AG120,AH120,AI120),SUM(LARGE((Z120,AA120,AB120,AC120,AD120,AE120,AF120,AG120,AH120,AI120),{1;2;3;4;5;6;7;8;9}))))</f>
        <v>0</v>
      </c>
      <c r="S120" s="193" t="str">
        <f>INDEX(ETAPP!B$1:B$32,MATCH(COUNTIF(BI120:BR120,1),ETAPP!A$1:A$32,0))&amp;INDEX(ETAPP!B$1:B$32,MATCH(COUNTIF(BI120:BR120,2),ETAPP!A$1:A$32,0))&amp;INDEX(ETAPP!B$1:B$32,MATCH(COUNTIF(BI120:BR120,3),ETAPP!A$1:A$32,0))&amp;INDEX(ETAPP!B$1:B$32,MATCH(COUNTIF(BI120:BR120,4),ETAPP!A$1:A$32,0))&amp;INDEX(ETAPP!B$1:B$32,MATCH(COUNTIF(BI120:BR120,5),ETAPP!A$1:A$32,0))&amp;INDEX(ETAPP!B$1:B$32,MATCH(COUNTIF(BI120:BR120,6),ETAPP!A$1:A$32,0))&amp;INDEX(ETAPP!B$1:B$32,MATCH(COUNTIF(BI120:BR120,7),ETAPP!A$1:A$32,0))&amp;INDEX(ETAPP!B$1:B$32,MATCH(COUNTIF(BI120:BR120,8),ETAPP!A$1:A$32,0))&amp;INDEX(ETAPP!B$1:B$32,MATCH(COUNTIF(BI120:BR120,9),ETAPP!A$1:A$32,0))&amp;INDEX(ETAPP!B$1:B$32,MATCH(COUNTIF(BI120:BR120,10),ETAPP!A$1:A$32,0))&amp;INDEX(ETAPP!B$1:B$32,MATCH(COUNTIF(BI120:BR120,11),ETAPP!A$1:A$32,0))&amp;INDEX(ETAPP!B$1:B$32,MATCH(COUNTIF(BI120:BR120,12),ETAPP!A$1:A$32,0))&amp;INDEX(ETAPP!B$1:B$32,MATCH(COUNTIF(BI120:BR120,13),ETAPP!A$1:A$32,0))&amp;INDEX(ETAPP!B$1:B$32,MATCH(COUNTIF(BI120:BR120,14),ETAPP!A$1:A$32,0))&amp;INDEX(ETAPP!B$1:B$32,MATCH(COUNTIF(BI120:BR120,15),ETAPP!A$1:A$32,0))&amp;INDEX(ETAPP!B$1:B$32,MATCH(COUNTIF(BI120:BR120,16),ETAPP!A$1:A$32,0))&amp;INDEX(ETAPP!B$1:B$32,MATCH(COUNTIF(BI120:BR120,17),ETAPP!A$1:A$32,0))&amp;INDEX(ETAPP!B$1:B$32,MATCH(COUNTIF(BI120:BR120,18),ETAPP!A$1:A$32,0))&amp;INDEX(ETAPP!B$1:B$32,MATCH(COUNTIF(BI120:BR120,19),ETAPP!A$1:A$32,0))&amp;INDEX(ETAPP!B$1:B$32,MATCH(COUNTIF(BI120:BR120,20),ETAPP!A$1:A$32,0))&amp;INDEX(ETAPP!B$1:B$32,MATCH(COUNTIF(BI120:BR120,21),ETAPP!A$1:A$32,0))</f>
        <v>000000000000000000000</v>
      </c>
      <c r="T120" s="193" t="str">
        <f>TEXT(R120,"000,0")&amp;"-"&amp;S120</f>
        <v>000,0-000000000000000000000</v>
      </c>
      <c r="U120" s="193">
        <f>COUNTIF(T$7:T$126,"&gt;="&amp;T120)</f>
        <v>120</v>
      </c>
      <c r="V120" s="193">
        <f>COUNTIF(L$7:L$126,"&gt;="&amp;L120)</f>
        <v>14</v>
      </c>
      <c r="W120" s="193" t="str">
        <f>TEXT(R120,"000,0")&amp;"-"&amp;S120&amp;"-"&amp;TEXT(V120,"000")</f>
        <v>000,0-000000000000000000000-014</v>
      </c>
      <c r="X120" s="193">
        <f>COUNTIF(W$7:W$126,"&gt;="&amp;W120)</f>
        <v>114</v>
      </c>
      <c r="Y120" s="201">
        <f>RANK(X120,X$7:X$126,0)</f>
        <v>7</v>
      </c>
      <c r="Z120" s="202" t="str">
        <f>IFERROR(INDEX('V1'!C$300:C$400,MATCH("*"&amp;L120&amp;"*",'V1'!B$300:B$400,0)),"  ")</f>
        <v>  </v>
      </c>
      <c r="AA120" s="202" t="str">
        <f>IFERROR(INDEX('V2'!C$300:C$400,MATCH("*"&amp;L120&amp;"*",'V2'!B$300:B$400,0)),"  ")</f>
        <v>  </v>
      </c>
      <c r="AB120" s="202" t="str">
        <f>IFERROR(INDEX('V3'!C$300:C$400,MATCH("*"&amp;L120&amp;"*",'V3'!B$300:B$400,0)),"  ")</f>
        <v>  </v>
      </c>
      <c r="AC120" s="202" t="str">
        <f>IFERROR(INDEX('V4'!C$300:C$400,MATCH("*"&amp;L120&amp;"*",'V4'!B$300:B$400,0)),"  ")</f>
        <v>  </v>
      </c>
      <c r="AD120" s="202" t="str">
        <f>IFERROR(INDEX('V5'!C$300:C$400,MATCH("*"&amp;L120&amp;"*",'V5'!B$300:B$400,0)),"  ")</f>
        <v>  </v>
      </c>
      <c r="AE120" s="202" t="str">
        <f>IFERROR(INDEX('V6'!C$300:C$400,MATCH("*"&amp;L120&amp;"*",'V6'!B$300:B$400,0)),"  ")</f>
        <v>  </v>
      </c>
      <c r="AF120" s="202" t="str">
        <f>IFERROR(INDEX('V7'!C$300:C$400,MATCH("*"&amp;L120&amp;"*",'V7'!B$300:B$400,0)),"  ")</f>
        <v>  </v>
      </c>
      <c r="AG120" s="202" t="str">
        <f>IFERROR(INDEX('V8'!C$300:C$400,MATCH("*"&amp;L120&amp;"*",'V8'!B$300:B$400,0)),"  ")</f>
        <v>  </v>
      </c>
      <c r="AH120" s="202"/>
      <c r="AI120" s="202"/>
      <c r="AJ120" s="222" t="str">
        <f>IF(AN120&gt;(AT$2-1),K120,"")</f>
        <v/>
      </c>
      <c r="AK120" s="223">
        <f>SUM(Z120:AI120)</f>
        <v>0</v>
      </c>
      <c r="AL120" s="224" t="str">
        <f>IFERROR("edasi "&amp;RANK(AJ120,AJ$7:AJ$126,1),K120)</f>
        <v/>
      </c>
      <c r="AM120" s="225" t="str">
        <f>IFERROR(INDEX(#REF!,MATCH("*"&amp;L120&amp;"*",#REF!,0)),"  ")</f>
        <v>  </v>
      </c>
      <c r="AN120" s="226">
        <f>COUNTIF(Z120:AI120,"&gt;=0")</f>
        <v>0</v>
      </c>
      <c r="AO120" s="126">
        <f>IFERROR(IF(Z120+1&gt;LARGE(Z$7:Z$126,1)-2*LEN(Z$5),1),0)+IFERROR(IF(AA120+1&gt;LARGE(AA$7:AA$126,1)-2*LEN(AA$5),1),0)+IFERROR(IF(AB120+1&gt;LARGE(AB$7:AB$126,1)-2*LEN(AB$5),1),0)+IFERROR(IF(AC120+1&gt;LARGE(AC$7:AC$126,1)-2*LEN(AC$5),1),0)+IFERROR(IF(AD120+1&gt;LARGE(AD$7:AD$126,1)-2*LEN(AD$5),1),0)+IFERROR(IF(AE120+1&gt;LARGE(AE$7:AE$126,1)-2*LEN(AE$5),1),0)+IFERROR(IF(AF120+1&gt;LARGE(AF$7:AF$126,1)-2*LEN(AF$5),1),0)+IFERROR(IF(AG120+1&gt;LARGE(AG$7:AG$126,1)-2*LEN(AG$5),1),0)+IFERROR(IF(AH120+1&gt;LARGE(AH$7:AH$126,1)-2*LEN(AH$5),1),0)+IFERROR(IF(AI120+1&gt;LARGE(AI$7:AI$126,1)-2*LEN(AI$5),1),0)</f>
        <v>0</v>
      </c>
      <c r="AP120" s="126">
        <f>IF(Z120=0,0,IF(Z120=IFERROR(LARGE(Z$7:Z$126,1),0),1,0))+IF(AA120=0,0,IF(AA120=IFERROR(LARGE(AA$7:AA$126,1),0),1,0))+IF(AB120=0,0,IF(AB120=IFERROR(LARGE(AB$7:AB$126,1),0),1,0))+IF(AC120=0,0,IF(AC120=IFERROR(LARGE(AC$7:AC$126,1),0),1,0))+IF(AD120=0,0,IF(AD120=IFERROR(LARGE(AD$7:AD$126,1),0),1,0))+IF(AE120=0,0,IF(AE120=IFERROR(LARGE(AE$7:AE$126,1),0),1,0))+IF(AF120=0,0,IF(AF120=IFERROR(LARGE(AF$7:AF$126,1),0),1,0))+IF(AG120=0,0,IF(AG120=IFERROR(LARGE(AG$7:AG$126,1),0),1,0))+IF(AH120=0,0,IF(AH120=IFERROR(LARGE(AH$7:AH$126,1),0),1,0))+IF(AI120=0,0,IF(AI120=IFERROR(LARGE(AI$7:AI$126,1),0),1,0))</f>
        <v>0</v>
      </c>
      <c r="AQ120" s="233"/>
      <c r="AR120" s="233"/>
      <c r="AS120" s="233"/>
      <c r="AT120" s="234">
        <f>SMALL(AU120:BD120,AT$3)</f>
        <v>0.0001</v>
      </c>
      <c r="AU120" s="235">
        <f>IF(Z120="  ",0+MID(Z$6,FIND("V",Z$6)+1,256)/10000,Z120+MID(Z$6,FIND("V",Z$6)+1,256)/10000)</f>
        <v>0.0001</v>
      </c>
      <c r="AV120" s="235">
        <f>IF(AA120="  ",0+MID(AA$6,FIND("V",AA$6)+1,256)/10000,AA120+MID(AA$6,FIND("V",AA$6)+1,256)/10000)</f>
        <v>0.0002</v>
      </c>
      <c r="AW120" s="235">
        <f>IF(AB120="  ",0+MID(AB$6,FIND("V",AB$6)+1,256)/10000,AB120+MID(AB$6,FIND("V",AB$6)+1,256)/10000)</f>
        <v>0.0003</v>
      </c>
      <c r="AX120" s="235">
        <f>IF(AC120="  ",0+MID(AC$6,FIND("V",AC$6)+1,256)/10000,AC120+MID(AC$6,FIND("V",AC$6)+1,256)/10000)</f>
        <v>0.0004</v>
      </c>
      <c r="AY120" s="235">
        <f>IF(AD120="  ",0+MID(AD$6,FIND("V",AD$6)+1,256)/10000,AD120+MID(AD$6,FIND("V",AD$6)+1,256)/10000)</f>
        <v>0.0005</v>
      </c>
      <c r="AZ120" s="235">
        <f>IF(AE120="  ",0+MID(AE$6,FIND("V",AE$6)+1,256)/10000,AE120+MID(AE$6,FIND("V",AE$6)+1,256)/10000)</f>
        <v>0.0006</v>
      </c>
      <c r="BA120" s="235">
        <f>IF(AF120="  ",0+MID(AF$6,FIND("V",AF$6)+1,256)/10000,AF120+MID(AF$6,FIND("V",AF$6)+1,256)/10000)</f>
        <v>0.0007</v>
      </c>
      <c r="BB120" s="235">
        <f>IF(AG120="  ",0+MID(AG$6,FIND("V",AG$6)+1,256)/10000,AG120+MID(AG$6,FIND("V",AG$6)+1,256)/10000)</f>
        <v>0.0008</v>
      </c>
      <c r="BC120" s="235">
        <f>IF(AH120="  ",0+MID(AH$6,FIND("V",AH$6)+1,256)/10000,AH120+MID(AH$6,FIND("V",AH$6)+1,256)/10000)</f>
        <v>0.0009</v>
      </c>
      <c r="BD120" s="235">
        <f>IF(AI120="  ",0+MID(AI$6,FIND("V",AI$6)+1,256)/10000,AI120+MID(AI$6,FIND("V",AI$6)+1,256)/10000)</f>
        <v>0.001</v>
      </c>
      <c r="BE120" s="233"/>
      <c r="BF120" s="233"/>
      <c r="BG120" s="233"/>
      <c r="BH120" s="233"/>
      <c r="BI120" s="3" t="e">
        <f>(LARGE(Z$7:Z$126,1)-Z120)/2+1</f>
        <v>#VALUE!</v>
      </c>
      <c r="BJ120" s="3" t="e">
        <f>(LARGE(AA$7:AA$126,1)-AA120)/2+1</f>
        <v>#VALUE!</v>
      </c>
      <c r="BK120" s="3" t="e">
        <f>(LARGE(AB$7:AB$126,1)-AB120)/2+1</f>
        <v>#VALUE!</v>
      </c>
      <c r="BL120" s="3" t="e">
        <f>(LARGE(AC$7:AC$126,1)-AC120)/2+1</f>
        <v>#VALUE!</v>
      </c>
      <c r="BM120" s="3" t="e">
        <f>(LARGE(AD$7:AD$126,1)-AD120)/2+1</f>
        <v>#VALUE!</v>
      </c>
      <c r="BN120" s="3" t="e">
        <f>(LARGE(AE$7:AE$126,1)-AE120)/2+1</f>
        <v>#VALUE!</v>
      </c>
      <c r="BO120" s="3" t="e">
        <f>(LARGE(AF$7:AF$126,1)-AF120)/2+1</f>
        <v>#VALUE!</v>
      </c>
      <c r="BP120" s="3" t="e">
        <f>(LARGE(AG$7:AG$126,1)-AG120)/2+1</f>
        <v>#VALUE!</v>
      </c>
      <c r="BQ120" s="3" t="e">
        <f>(LARGE(AH$7:AH$126,1)-AH120)/2+1</f>
        <v>#NUM!</v>
      </c>
      <c r="BR120" s="3" t="e">
        <f>(LARGE(AI$7:AI$126,1)-AI120)/2+1</f>
        <v>#NUM!</v>
      </c>
    </row>
    <row r="121" ht="12.75" hidden="1" customHeight="1" spans="1:70">
      <c r="A121" s="139" t="str">
        <f>IF(R121&gt;0,IF(Q121="Viru SK",RANK(B121,B$7:B$126,1)-COUNTIF((Q$7:Q$126),"&lt;&gt;Viru SK"),""),"")</f>
        <v/>
      </c>
      <c r="B121" s="140">
        <f>IF((Q121="Viru SK"),U121,U121-1000)</f>
        <v>120</v>
      </c>
      <c r="C121" s="141" t="str">
        <f>IF(R121&gt;0,IF(P121="t",RANK(D121,D$7:D$126,1)-COUNTBLANK(P$7:P$126),""),"")</f>
        <v/>
      </c>
      <c r="D121" s="142">
        <f>IF((P121="t"),U121,U121-1000)</f>
        <v>-880</v>
      </c>
      <c r="E121" s="143" t="str">
        <f>IF(R121&gt;0,IF(N121="m",RANK(F121,F$7:F$126,1)-COUNTBLANK(N$7:N$126),""),"")</f>
        <v/>
      </c>
      <c r="F121" s="144">
        <f>IF((N121="m"),U121,U121-1000)</f>
        <v>-880</v>
      </c>
      <c r="G121" s="145" t="str">
        <f>IF(R121&gt;0,IF(M121="n",RANK(H121,H$7:H$126,1)-COUNTBLANK(M$7:M$126),""),"")</f>
        <v/>
      </c>
      <c r="H121" s="144">
        <f>IF((M121="n"),U121,U121-1000)</f>
        <v>120</v>
      </c>
      <c r="I121" s="160" t="str">
        <f>IF(R121&gt;0,IF(O121="j",RANK(J121,J$7:J$126,1)-COUNTBLANK(O$7:O$126),""),"")</f>
        <v/>
      </c>
      <c r="J121" s="161">
        <f>IF((O121="j"),U121,U121-1000)</f>
        <v>-880</v>
      </c>
      <c r="K121" s="162" t="str">
        <f>IF(R121&gt;0,RANK(U121,U$7:U$126,1),"")</f>
        <v/>
      </c>
      <c r="L121" s="163" t="s">
        <v>314</v>
      </c>
      <c r="M121" s="164" t="s">
        <v>203</v>
      </c>
      <c r="N121" s="165"/>
      <c r="O121" s="166"/>
      <c r="P121" s="167"/>
      <c r="Q121" s="192" t="s">
        <v>171</v>
      </c>
      <c r="R121" s="154">
        <f>(IF(COUNT(Z121,AA121,AB121,AC121,AD121,AE121,AF121,AG121,AH121,AI121)&lt;10,SUM(Z121,AA121,AB121,AC121,AD121,AE121,AF121,AG121,AH121,AI121),SUM(LARGE((Z121,AA121,AB121,AC121,AD121,AE121,AF121,AG121,AH121,AI121),{1;2;3;4;5;6;7;8;9}))))</f>
        <v>0</v>
      </c>
      <c r="S121" s="193" t="str">
        <f>INDEX(ETAPP!B$1:B$32,MATCH(COUNTIF(BI121:BR121,1),ETAPP!A$1:A$32,0))&amp;INDEX(ETAPP!B$1:B$32,MATCH(COUNTIF(BI121:BR121,2),ETAPP!A$1:A$32,0))&amp;INDEX(ETAPP!B$1:B$32,MATCH(COUNTIF(BI121:BR121,3),ETAPP!A$1:A$32,0))&amp;INDEX(ETAPP!B$1:B$32,MATCH(COUNTIF(BI121:BR121,4),ETAPP!A$1:A$32,0))&amp;INDEX(ETAPP!B$1:B$32,MATCH(COUNTIF(BI121:BR121,5),ETAPP!A$1:A$32,0))&amp;INDEX(ETAPP!B$1:B$32,MATCH(COUNTIF(BI121:BR121,6),ETAPP!A$1:A$32,0))&amp;INDEX(ETAPP!B$1:B$32,MATCH(COUNTIF(BI121:BR121,7),ETAPP!A$1:A$32,0))&amp;INDEX(ETAPP!B$1:B$32,MATCH(COUNTIF(BI121:BR121,8),ETAPP!A$1:A$32,0))&amp;INDEX(ETAPP!B$1:B$32,MATCH(COUNTIF(BI121:BR121,9),ETAPP!A$1:A$32,0))&amp;INDEX(ETAPP!B$1:B$32,MATCH(COUNTIF(BI121:BR121,10),ETAPP!A$1:A$32,0))&amp;INDEX(ETAPP!B$1:B$32,MATCH(COUNTIF(BI121:BR121,11),ETAPP!A$1:A$32,0))&amp;INDEX(ETAPP!B$1:B$32,MATCH(COUNTIF(BI121:BR121,12),ETAPP!A$1:A$32,0))&amp;INDEX(ETAPP!B$1:B$32,MATCH(COUNTIF(BI121:BR121,13),ETAPP!A$1:A$32,0))&amp;INDEX(ETAPP!B$1:B$32,MATCH(COUNTIF(BI121:BR121,14),ETAPP!A$1:A$32,0))&amp;INDEX(ETAPP!B$1:B$32,MATCH(COUNTIF(BI121:BR121,15),ETAPP!A$1:A$32,0))&amp;INDEX(ETAPP!B$1:B$32,MATCH(COUNTIF(BI121:BR121,16),ETAPP!A$1:A$32,0))&amp;INDEX(ETAPP!B$1:B$32,MATCH(COUNTIF(BI121:BR121,17),ETAPP!A$1:A$32,0))&amp;INDEX(ETAPP!B$1:B$32,MATCH(COUNTIF(BI121:BR121,18),ETAPP!A$1:A$32,0))&amp;INDEX(ETAPP!B$1:B$32,MATCH(COUNTIF(BI121:BR121,19),ETAPP!A$1:A$32,0))&amp;INDEX(ETAPP!B$1:B$32,MATCH(COUNTIF(BI121:BR121,20),ETAPP!A$1:A$32,0))&amp;INDEX(ETAPP!B$1:B$32,MATCH(COUNTIF(BI121:BR121,21),ETAPP!A$1:A$32,0))</f>
        <v>000000000000000000000</v>
      </c>
      <c r="T121" s="193" t="str">
        <f>TEXT(R121,"000,0")&amp;"-"&amp;S121</f>
        <v>000,0-000000000000000000000</v>
      </c>
      <c r="U121" s="193">
        <f>COUNTIF(T$7:T$126,"&gt;="&amp;T121)</f>
        <v>120</v>
      </c>
      <c r="V121" s="193">
        <f>COUNTIF(L$7:L$126,"&gt;="&amp;L121)</f>
        <v>8</v>
      </c>
      <c r="W121" s="193" t="str">
        <f>TEXT(R121,"000,0")&amp;"-"&amp;S121&amp;"-"&amp;TEXT(V121,"000")</f>
        <v>000,0-000000000000000000000-008</v>
      </c>
      <c r="X121" s="193">
        <f>COUNTIF(W$7:W$126,"&gt;="&amp;W121)</f>
        <v>115</v>
      </c>
      <c r="Y121" s="201">
        <f>RANK(X121,X$7:X$126,0)</f>
        <v>6</v>
      </c>
      <c r="Z121" s="202" t="str">
        <f>IFERROR(INDEX('V1'!C$300:C$400,MATCH("*"&amp;L121&amp;"*",'V1'!B$300:B$400,0)),"  ")</f>
        <v>  </v>
      </c>
      <c r="AA121" s="251" t="str">
        <f>IFERROR(INDEX('V2'!C$300:C$400,MATCH("*"&amp;L121&amp;"*",'V2'!B$300:B$400,0)),"  ")</f>
        <v>  </v>
      </c>
      <c r="AB121" s="202" t="str">
        <f>IFERROR(INDEX('V3'!C$300:C$400,MATCH("*"&amp;L121&amp;"*",'V3'!B$300:B$400,0)),"  ")</f>
        <v>  </v>
      </c>
      <c r="AC121" s="202" t="str">
        <f>IFERROR(INDEX('V4'!C$300:C$400,MATCH("*"&amp;L121&amp;"*",'V4'!B$300:B$400,0)),"  ")</f>
        <v>  </v>
      </c>
      <c r="AD121" s="202" t="str">
        <f>IFERROR(INDEX('V5'!C$300:C$400,MATCH("*"&amp;L121&amp;"*",'V5'!B$300:B$400,0)),"  ")</f>
        <v>  </v>
      </c>
      <c r="AE121" s="202" t="str">
        <f>IFERROR(INDEX('V6'!C$300:C$400,MATCH("*"&amp;L121&amp;"*",'V6'!B$300:B$400,0)),"  ")</f>
        <v>  </v>
      </c>
      <c r="AF121" s="202" t="str">
        <f>IFERROR(INDEX('V7'!C$300:C$400,MATCH("*"&amp;L121&amp;"*",'V7'!B$300:B$400,0)),"  ")</f>
        <v>  </v>
      </c>
      <c r="AG121" s="202" t="str">
        <f>IFERROR(INDEX('V8'!C$300:C$400,MATCH("*"&amp;L121&amp;"*",'V8'!B$300:B$400,0)),"  ")</f>
        <v>  </v>
      </c>
      <c r="AH121" s="202"/>
      <c r="AI121" s="202"/>
      <c r="AJ121" s="222" t="str">
        <f>IF(AN121&gt;(AT$2-1),K121,"")</f>
        <v/>
      </c>
      <c r="AK121" s="223">
        <f>SUM(Z121:AI121)</f>
        <v>0</v>
      </c>
      <c r="AL121" s="224" t="str">
        <f>IFERROR("edasi "&amp;RANK(AJ121,AJ$7:AJ$126,1),K121)</f>
        <v/>
      </c>
      <c r="AM121" s="225" t="str">
        <f>IFERROR(INDEX(#REF!,MATCH("*"&amp;L121&amp;"*",#REF!,0)),"  ")</f>
        <v>  </v>
      </c>
      <c r="AN121" s="226">
        <f>COUNTIF(Z121:AI121,"&gt;=0")</f>
        <v>0</v>
      </c>
      <c r="AO121" s="126">
        <f>IFERROR(IF(Z121+1&gt;LARGE(Z$7:Z$126,1)-2*LEN(Z$5),1),0)+IFERROR(IF(AA121+1&gt;LARGE(AA$7:AA$126,1)-2*LEN(AA$5),1),0)+IFERROR(IF(AB121+1&gt;LARGE(AB$7:AB$126,1)-2*LEN(AB$5),1),0)+IFERROR(IF(AC121+1&gt;LARGE(AC$7:AC$126,1)-2*LEN(AC$5),1),0)+IFERROR(IF(AD121+1&gt;LARGE(AD$7:AD$126,1)-2*LEN(AD$5),1),0)+IFERROR(IF(AE121+1&gt;LARGE(AE$7:AE$126,1)-2*LEN(AE$5),1),0)+IFERROR(IF(AF121+1&gt;LARGE(AF$7:AF$126,1)-2*LEN(AF$5),1),0)+IFERROR(IF(AG121+1&gt;LARGE(AG$7:AG$126,1)-2*LEN(AG$5),1),0)+IFERROR(IF(AH121+1&gt;LARGE(AH$7:AH$126,1)-2*LEN(AH$5),1),0)+IFERROR(IF(AI121+1&gt;LARGE(AI$7:AI$126,1)-2*LEN(AI$5),1),0)</f>
        <v>0</v>
      </c>
      <c r="AP121" s="126">
        <f>IF(Z121=0,0,IF(Z121=IFERROR(LARGE(Z$7:Z$126,1),0),1,0))+IF(AA121=0,0,IF(AA121=IFERROR(LARGE(AA$7:AA$126,1),0),1,0))+IF(AB121=0,0,IF(AB121=IFERROR(LARGE(AB$7:AB$126,1),0),1,0))+IF(AC121=0,0,IF(AC121=IFERROR(LARGE(AC$7:AC$126,1),0),1,0))+IF(AD121=0,0,IF(AD121=IFERROR(LARGE(AD$7:AD$126,1),0),1,0))+IF(AE121=0,0,IF(AE121=IFERROR(LARGE(AE$7:AE$126,1),0),1,0))+IF(AF121=0,0,IF(AF121=IFERROR(LARGE(AF$7:AF$126,1),0),1,0))+IF(AG121=0,0,IF(AG121=IFERROR(LARGE(AG$7:AG$126,1),0),1,0))+IF(AH121=0,0,IF(AH121=IFERROR(LARGE(AH$7:AH$126,1),0),1,0))+IF(AI121=0,0,IF(AI121=IFERROR(LARGE(AI$7:AI$126,1),0),1,0))</f>
        <v>0</v>
      </c>
      <c r="AQ121" s="233"/>
      <c r="AR121" s="233"/>
      <c r="AS121" s="233"/>
      <c r="AT121" s="234">
        <f>SMALL(AU121:BD121,AT$3)</f>
        <v>0.0001</v>
      </c>
      <c r="AU121" s="235">
        <f>IF(Z121="  ",0+MID(Z$6,FIND("V",Z$6)+1,256)/10000,Z121+MID(Z$6,FIND("V",Z$6)+1,256)/10000)</f>
        <v>0.0001</v>
      </c>
      <c r="AV121" s="235">
        <f>IF(AA121="  ",0+MID(AA$6,FIND("V",AA$6)+1,256)/10000,AA121+MID(AA$6,FIND("V",AA$6)+1,256)/10000)</f>
        <v>0.0002</v>
      </c>
      <c r="AW121" s="235">
        <f>IF(AB121="  ",0+MID(AB$6,FIND("V",AB$6)+1,256)/10000,AB121+MID(AB$6,FIND("V",AB$6)+1,256)/10000)</f>
        <v>0.0003</v>
      </c>
      <c r="AX121" s="235">
        <f>IF(AC121="  ",0+MID(AC$6,FIND("V",AC$6)+1,256)/10000,AC121+MID(AC$6,FIND("V",AC$6)+1,256)/10000)</f>
        <v>0.0004</v>
      </c>
      <c r="AY121" s="235">
        <f>IF(AD121="  ",0+MID(AD$6,FIND("V",AD$6)+1,256)/10000,AD121+MID(AD$6,FIND("V",AD$6)+1,256)/10000)</f>
        <v>0.0005</v>
      </c>
      <c r="AZ121" s="235">
        <f>IF(AE121="  ",0+MID(AE$6,FIND("V",AE$6)+1,256)/10000,AE121+MID(AE$6,FIND("V",AE$6)+1,256)/10000)</f>
        <v>0.0006</v>
      </c>
      <c r="BA121" s="235">
        <f>IF(AF121="  ",0+MID(AF$6,FIND("V",AF$6)+1,256)/10000,AF121+MID(AF$6,FIND("V",AF$6)+1,256)/10000)</f>
        <v>0.0007</v>
      </c>
      <c r="BB121" s="235">
        <f>IF(AG121="  ",0+MID(AG$6,FIND("V",AG$6)+1,256)/10000,AG121+MID(AG$6,FIND("V",AG$6)+1,256)/10000)</f>
        <v>0.0008</v>
      </c>
      <c r="BC121" s="235">
        <f>IF(AH121="  ",0+MID(AH$6,FIND("V",AH$6)+1,256)/10000,AH121+MID(AH$6,FIND("V",AH$6)+1,256)/10000)</f>
        <v>0.0009</v>
      </c>
      <c r="BD121" s="235">
        <f>IF(AI121="  ",0+MID(AI$6,FIND("V",AI$6)+1,256)/10000,AI121+MID(AI$6,FIND("V",AI$6)+1,256)/10000)</f>
        <v>0.001</v>
      </c>
      <c r="BE121" s="233"/>
      <c r="BF121" s="233"/>
      <c r="BG121" s="233"/>
      <c r="BH121" s="233"/>
      <c r="BI121" s="3" t="e">
        <f>(LARGE(Z$7:Z$126,1)-Z121)/2+1</f>
        <v>#VALUE!</v>
      </c>
      <c r="BJ121" s="3" t="e">
        <f>(LARGE(AA$7:AA$126,1)-AA121)/2+1</f>
        <v>#VALUE!</v>
      </c>
      <c r="BK121" s="3" t="e">
        <f>(LARGE(AB$7:AB$126,1)-AB121)/2+1</f>
        <v>#VALUE!</v>
      </c>
      <c r="BL121" s="3" t="e">
        <f>(LARGE(AC$7:AC$126,1)-AC121)/2+1</f>
        <v>#VALUE!</v>
      </c>
      <c r="BM121" s="3" t="e">
        <f>(LARGE(AD$7:AD$126,1)-AD121)/2+1</f>
        <v>#VALUE!</v>
      </c>
      <c r="BN121" s="3" t="e">
        <f>(LARGE(AE$7:AE$126,1)-AE121)/2+1</f>
        <v>#VALUE!</v>
      </c>
      <c r="BO121" s="3" t="e">
        <f>(LARGE(AF$7:AF$126,1)-AF121)/2+1</f>
        <v>#VALUE!</v>
      </c>
      <c r="BP121" s="3" t="e">
        <f>(LARGE(AG$7:AG$126,1)-AG121)/2+1</f>
        <v>#VALUE!</v>
      </c>
      <c r="BQ121" s="3" t="e">
        <f>(LARGE(AH$7:AH$126,1)-AH121)/2+1</f>
        <v>#NUM!</v>
      </c>
      <c r="BR121" s="3" t="e">
        <f>(LARGE(AI$7:AI$126,1)-AI121)/2+1</f>
        <v>#NUM!</v>
      </c>
    </row>
    <row r="122" ht="12.75" hidden="1" customHeight="1" spans="1:70">
      <c r="A122" s="139" t="str">
        <f>IF(R122&gt;0,IF(Q122="Viru SK",RANK(B122,B$7:B$126,1)-COUNTIF((Q$7:Q$126),"&lt;&gt;Viru SK"),""),"")</f>
        <v/>
      </c>
      <c r="B122" s="140">
        <f>IF((Q122="Viru SK"),U122,U122-1000)</f>
        <v>120</v>
      </c>
      <c r="C122" s="141" t="str">
        <f>IF(R122&gt;0,IF(P122="t",RANK(D122,D$7:D$126,1)-COUNTBLANK(P$7:P$126),""),"")</f>
        <v/>
      </c>
      <c r="D122" s="142">
        <f>IF((P122="t"),U122,U122-1000)</f>
        <v>-880</v>
      </c>
      <c r="E122" s="143" t="str">
        <f>IF(R122&gt;0,IF(N122="m",RANK(F122,F$7:F$126,1)-COUNTBLANK(N$7:N$126),""),"")</f>
        <v/>
      </c>
      <c r="F122" s="144">
        <f>IF((N122="m"),U122,U122-1000)</f>
        <v>-880</v>
      </c>
      <c r="G122" s="145" t="str">
        <f>IF(R122&gt;0,IF(M122="n",RANK(H122,H$7:H$126,1)-COUNTBLANK(M$7:M$126),""),"")</f>
        <v/>
      </c>
      <c r="H122" s="144">
        <f>IF((M122="n"),U122,U122-1000)</f>
        <v>120</v>
      </c>
      <c r="I122" s="160" t="str">
        <f>IF(R122&gt;0,IF(O122="j",RANK(J122,J$7:J$126,1)-COUNTBLANK(O$7:O$126),""),"")</f>
        <v/>
      </c>
      <c r="J122" s="161">
        <f>IF((O122="j"),U122,U122-1000)</f>
        <v>-880</v>
      </c>
      <c r="K122" s="162" t="str">
        <f>IF(R122&gt;0,RANK(U122,U$7:U$126,1),"")</f>
        <v/>
      </c>
      <c r="L122" s="163" t="s">
        <v>315</v>
      </c>
      <c r="M122" s="164" t="s">
        <v>203</v>
      </c>
      <c r="N122" s="165" t="str">
        <f>IF(M122="","m","")</f>
        <v/>
      </c>
      <c r="O122" s="166"/>
      <c r="P122" s="167"/>
      <c r="Q122" s="192" t="s">
        <v>171</v>
      </c>
      <c r="R122" s="154">
        <f>(IF(COUNT(Z122,AA122,AB122,AC122,AD122,AE122,AF122,AG122,AH122,AI122)&lt;10,SUM(Z122,AA122,AB122,AC122,AD122,AE122,AF122,AG122,AH122,AI122),SUM(LARGE((Z122,AA122,AB122,AC122,AD122,AE122,AF122,AG122,AH122,AI122),{1;2;3;4;5;6;7;8;9}))))</f>
        <v>0</v>
      </c>
      <c r="S122" s="193" t="str">
        <f>INDEX(ETAPP!B$1:B$32,MATCH(COUNTIF(BI122:BR122,1),ETAPP!A$1:A$32,0))&amp;INDEX(ETAPP!B$1:B$32,MATCH(COUNTIF(BI122:BR122,2),ETAPP!A$1:A$32,0))&amp;INDEX(ETAPP!B$1:B$32,MATCH(COUNTIF(BI122:BR122,3),ETAPP!A$1:A$32,0))&amp;INDEX(ETAPP!B$1:B$32,MATCH(COUNTIF(BI122:BR122,4),ETAPP!A$1:A$32,0))&amp;INDEX(ETAPP!B$1:B$32,MATCH(COUNTIF(BI122:BR122,5),ETAPP!A$1:A$32,0))&amp;INDEX(ETAPP!B$1:B$32,MATCH(COUNTIF(BI122:BR122,6),ETAPP!A$1:A$32,0))&amp;INDEX(ETAPP!B$1:B$32,MATCH(COUNTIF(BI122:BR122,7),ETAPP!A$1:A$32,0))&amp;INDEX(ETAPP!B$1:B$32,MATCH(COUNTIF(BI122:BR122,8),ETAPP!A$1:A$32,0))&amp;INDEX(ETAPP!B$1:B$32,MATCH(COUNTIF(BI122:BR122,9),ETAPP!A$1:A$32,0))&amp;INDEX(ETAPP!B$1:B$32,MATCH(COUNTIF(BI122:BR122,10),ETAPP!A$1:A$32,0))&amp;INDEX(ETAPP!B$1:B$32,MATCH(COUNTIF(BI122:BR122,11),ETAPP!A$1:A$32,0))&amp;INDEX(ETAPP!B$1:B$32,MATCH(COUNTIF(BI122:BR122,12),ETAPP!A$1:A$32,0))&amp;INDEX(ETAPP!B$1:B$32,MATCH(COUNTIF(BI122:BR122,13),ETAPP!A$1:A$32,0))&amp;INDEX(ETAPP!B$1:B$32,MATCH(COUNTIF(BI122:BR122,14),ETAPP!A$1:A$32,0))&amp;INDEX(ETAPP!B$1:B$32,MATCH(COUNTIF(BI122:BR122,15),ETAPP!A$1:A$32,0))&amp;INDEX(ETAPP!B$1:B$32,MATCH(COUNTIF(BI122:BR122,16),ETAPP!A$1:A$32,0))&amp;INDEX(ETAPP!B$1:B$32,MATCH(COUNTIF(BI122:BR122,17),ETAPP!A$1:A$32,0))&amp;INDEX(ETAPP!B$1:B$32,MATCH(COUNTIF(BI122:BR122,18),ETAPP!A$1:A$32,0))&amp;INDEX(ETAPP!B$1:B$32,MATCH(COUNTIF(BI122:BR122,19),ETAPP!A$1:A$32,0))&amp;INDEX(ETAPP!B$1:B$32,MATCH(COUNTIF(BI122:BR122,20),ETAPP!A$1:A$32,0))&amp;INDEX(ETAPP!B$1:B$32,MATCH(COUNTIF(BI122:BR122,21),ETAPP!A$1:A$32,0))</f>
        <v>000000000000000000000</v>
      </c>
      <c r="T122" s="193" t="str">
        <f>TEXT(R122,"000,0")&amp;"-"&amp;S122</f>
        <v>000,0-000000000000000000000</v>
      </c>
      <c r="U122" s="193">
        <f>COUNTIF(T$7:T$126,"&gt;="&amp;T122)</f>
        <v>120</v>
      </c>
      <c r="V122" s="193">
        <f>COUNTIF(L$7:L$126,"&gt;="&amp;L122)</f>
        <v>6</v>
      </c>
      <c r="W122" s="193" t="str">
        <f>TEXT(R122,"000,0")&amp;"-"&amp;S122&amp;"-"&amp;TEXT(V122,"000")</f>
        <v>000,0-000000000000000000000-006</v>
      </c>
      <c r="X122" s="193">
        <f>COUNTIF(W$7:W$126,"&gt;="&amp;W122)</f>
        <v>116</v>
      </c>
      <c r="Y122" s="201">
        <f>RANK(X122,X$7:X$126,0)</f>
        <v>5</v>
      </c>
      <c r="Z122" s="202" t="str">
        <f>IFERROR(INDEX('V1'!C$300:C$400,MATCH("*"&amp;L122&amp;"*",'V1'!B$300:B$400,0)),"  ")</f>
        <v>  </v>
      </c>
      <c r="AA122" s="202" t="str">
        <f>IFERROR(INDEX('V2'!C$300:C$400,MATCH("*"&amp;L122&amp;"*",'V2'!B$300:B$400,0)),"  ")</f>
        <v>  </v>
      </c>
      <c r="AB122" s="202" t="str">
        <f>IFERROR(INDEX('V3'!C$300:C$400,MATCH("*"&amp;L122&amp;"*",'V3'!B$300:B$400,0)),"  ")</f>
        <v>  </v>
      </c>
      <c r="AC122" s="202" t="str">
        <f>IFERROR(INDEX('V4'!C$300:C$400,MATCH("*"&amp;L122&amp;"*",'V4'!B$300:B$400,0)),"  ")</f>
        <v>  </v>
      </c>
      <c r="AD122" s="202" t="str">
        <f>IFERROR(INDEX('V5'!C$300:C$400,MATCH("*"&amp;L122&amp;"*",'V5'!B$300:B$400,0)),"  ")</f>
        <v>  </v>
      </c>
      <c r="AE122" s="202" t="str">
        <f>IFERROR(INDEX('V6'!C$300:C$400,MATCH("*"&amp;L122&amp;"*",'V6'!B$300:B$400,0)),"  ")</f>
        <v>  </v>
      </c>
      <c r="AF122" s="202" t="str">
        <f>IFERROR(INDEX('V7'!C$300:C$400,MATCH("*"&amp;L122&amp;"*",'V7'!B$300:B$400,0)),"  ")</f>
        <v>  </v>
      </c>
      <c r="AG122" s="202" t="str">
        <f>IFERROR(INDEX('V8'!C$300:C$400,MATCH("*"&amp;L122&amp;"*",'V8'!B$300:B$400,0)),"  ")</f>
        <v>  </v>
      </c>
      <c r="AH122" s="202"/>
      <c r="AI122" s="202"/>
      <c r="AJ122" s="222" t="str">
        <f>IF(AN122&gt;(AT$2-1),K122,"")</f>
        <v/>
      </c>
      <c r="AK122" s="223">
        <f>SUM(Z122:AI122)</f>
        <v>0</v>
      </c>
      <c r="AL122" s="224" t="str">
        <f>IFERROR("edasi "&amp;RANK(AJ122,AJ$7:AJ$126,1),K122)</f>
        <v/>
      </c>
      <c r="AM122" s="225" t="str">
        <f>IFERROR(INDEX(#REF!,MATCH("*"&amp;L122&amp;"*",#REF!,0)),"  ")</f>
        <v>  </v>
      </c>
      <c r="AN122" s="226">
        <f>COUNTIF(Z122:AI122,"&gt;=0")</f>
        <v>0</v>
      </c>
      <c r="AO122" s="126">
        <f>IFERROR(IF(Z122+1&gt;LARGE(Z$7:Z$126,1)-2*LEN(Z$5),1),0)+IFERROR(IF(AA122+1&gt;LARGE(AA$7:AA$126,1)-2*LEN(AA$5),1),0)+IFERROR(IF(AB122+1&gt;LARGE(AB$7:AB$126,1)-2*LEN(AB$5),1),0)+IFERROR(IF(AC122+1&gt;LARGE(AC$7:AC$126,1)-2*LEN(AC$5),1),0)+IFERROR(IF(AD122+1&gt;LARGE(AD$7:AD$126,1)-2*LEN(AD$5),1),0)+IFERROR(IF(AE122+1&gt;LARGE(AE$7:AE$126,1)-2*LEN(AE$5),1),0)+IFERROR(IF(AF122+1&gt;LARGE(AF$7:AF$126,1)-2*LEN(AF$5),1),0)+IFERROR(IF(AG122+1&gt;LARGE(AG$7:AG$126,1)-2*LEN(AG$5),1),0)+IFERROR(IF(AH122+1&gt;LARGE(AH$7:AH$126,1)-2*LEN(AH$5),1),0)+IFERROR(IF(AI122+1&gt;LARGE(AI$7:AI$126,1)-2*LEN(AI$5),1),0)</f>
        <v>0</v>
      </c>
      <c r="AP122" s="126">
        <f>IF(Z122=0,0,IF(Z122=IFERROR(LARGE(Z$7:Z$126,1),0),1,0))+IF(AA122=0,0,IF(AA122=IFERROR(LARGE(AA$7:AA$126,1),0),1,0))+IF(AB122=0,0,IF(AB122=IFERROR(LARGE(AB$7:AB$126,1),0),1,0))+IF(AC122=0,0,IF(AC122=IFERROR(LARGE(AC$7:AC$126,1),0),1,0))+IF(AD122=0,0,IF(AD122=IFERROR(LARGE(AD$7:AD$126,1),0),1,0))+IF(AE122=0,0,IF(AE122=IFERROR(LARGE(AE$7:AE$126,1),0),1,0))+IF(AF122=0,0,IF(AF122=IFERROR(LARGE(AF$7:AF$126,1),0),1,0))+IF(AG122=0,0,IF(AG122=IFERROR(LARGE(AG$7:AG$126,1),0),1,0))+IF(AH122=0,0,IF(AH122=IFERROR(LARGE(AH$7:AH$126,1),0),1,0))+IF(AI122=0,0,IF(AI122=IFERROR(LARGE(AI$7:AI$126,1),0),1,0))</f>
        <v>0</v>
      </c>
      <c r="AQ122" s="233"/>
      <c r="AR122" s="233"/>
      <c r="AS122" s="233"/>
      <c r="AT122" s="234">
        <f>SMALL(AU122:BD122,AT$3)</f>
        <v>0.0001</v>
      </c>
      <c r="AU122" s="235">
        <f>IF(Z122="  ",0+MID(Z$6,FIND("V",Z$6)+1,256)/10000,Z122+MID(Z$6,FIND("V",Z$6)+1,256)/10000)</f>
        <v>0.0001</v>
      </c>
      <c r="AV122" s="235">
        <f>IF(AA122="  ",0+MID(AA$6,FIND("V",AA$6)+1,256)/10000,AA122+MID(AA$6,FIND("V",AA$6)+1,256)/10000)</f>
        <v>0.0002</v>
      </c>
      <c r="AW122" s="235">
        <f>IF(AB122="  ",0+MID(AB$6,FIND("V",AB$6)+1,256)/10000,AB122+MID(AB$6,FIND("V",AB$6)+1,256)/10000)</f>
        <v>0.0003</v>
      </c>
      <c r="AX122" s="235">
        <f>IF(AC122="  ",0+MID(AC$6,FIND("V",AC$6)+1,256)/10000,AC122+MID(AC$6,FIND("V",AC$6)+1,256)/10000)</f>
        <v>0.0004</v>
      </c>
      <c r="AY122" s="235">
        <f>IF(AD122="  ",0+MID(AD$6,FIND("V",AD$6)+1,256)/10000,AD122+MID(AD$6,FIND("V",AD$6)+1,256)/10000)</f>
        <v>0.0005</v>
      </c>
      <c r="AZ122" s="235">
        <f>IF(AE122="  ",0+MID(AE$6,FIND("V",AE$6)+1,256)/10000,AE122+MID(AE$6,FIND("V",AE$6)+1,256)/10000)</f>
        <v>0.0006</v>
      </c>
      <c r="BA122" s="235">
        <f>IF(AF122="  ",0+MID(AF$6,FIND("V",AF$6)+1,256)/10000,AF122+MID(AF$6,FIND("V",AF$6)+1,256)/10000)</f>
        <v>0.0007</v>
      </c>
      <c r="BB122" s="235">
        <f>IF(AG122="  ",0+MID(AG$6,FIND("V",AG$6)+1,256)/10000,AG122+MID(AG$6,FIND("V",AG$6)+1,256)/10000)</f>
        <v>0.0008</v>
      </c>
      <c r="BC122" s="235">
        <f>IF(AH122="  ",0+MID(AH$6,FIND("V",AH$6)+1,256)/10000,AH122+MID(AH$6,FIND("V",AH$6)+1,256)/10000)</f>
        <v>0.0009</v>
      </c>
      <c r="BD122" s="235">
        <f>IF(AI122="  ",0+MID(AI$6,FIND("V",AI$6)+1,256)/10000,AI122+MID(AI$6,FIND("V",AI$6)+1,256)/10000)</f>
        <v>0.001</v>
      </c>
      <c r="BE122" s="233"/>
      <c r="BF122" s="233"/>
      <c r="BG122" s="233"/>
      <c r="BH122" s="233"/>
      <c r="BI122" s="3" t="e">
        <f>(LARGE(Z$7:Z$126,1)-Z122)/2+1</f>
        <v>#VALUE!</v>
      </c>
      <c r="BJ122" s="3" t="e">
        <f>(LARGE(AA$7:AA$126,1)-AA122)/2+1</f>
        <v>#VALUE!</v>
      </c>
      <c r="BK122" s="3" t="e">
        <f>(LARGE(AB$7:AB$126,1)-AB122)/2+1</f>
        <v>#VALUE!</v>
      </c>
      <c r="BL122" s="3" t="e">
        <f>(LARGE(AC$7:AC$126,1)-AC122)/2+1</f>
        <v>#VALUE!</v>
      </c>
      <c r="BM122" s="3" t="e">
        <f>(LARGE(AD$7:AD$126,1)-AD122)/2+1</f>
        <v>#VALUE!</v>
      </c>
      <c r="BN122" s="3" t="e">
        <f>(LARGE(AE$7:AE$126,1)-AE122)/2+1</f>
        <v>#VALUE!</v>
      </c>
      <c r="BO122" s="3" t="e">
        <f>(LARGE(AF$7:AF$126,1)-AF122)/2+1</f>
        <v>#VALUE!</v>
      </c>
      <c r="BP122" s="3" t="e">
        <f>(LARGE(AG$7:AG$126,1)-AG122)/2+1</f>
        <v>#VALUE!</v>
      </c>
      <c r="BQ122" s="3" t="e">
        <f>(LARGE(AH$7:AH$126,1)-AH122)/2+1</f>
        <v>#NUM!</v>
      </c>
      <c r="BR122" s="3" t="e">
        <f>(LARGE(AI$7:AI$126,1)-AI122)/2+1</f>
        <v>#NUM!</v>
      </c>
    </row>
    <row r="123" ht="12.75" hidden="1" customHeight="1" spans="1:70">
      <c r="A123" s="139" t="str">
        <f>IF(R123&gt;0,IF(Q123="Viru SK",RANK(B123,B$7:B$126,1)-COUNTIF((Q$7:Q$126),"&lt;&gt;Viru SK"),""),"")</f>
        <v/>
      </c>
      <c r="B123" s="140">
        <f>IF((Q123="Viru SK"),U123,U123-1000)</f>
        <v>-880</v>
      </c>
      <c r="C123" s="141" t="str">
        <f>IF(R123&gt;0,IF(P123="t",RANK(D123,D$7:D$126,1)-COUNTBLANK(P$7:P$126),""),"")</f>
        <v/>
      </c>
      <c r="D123" s="142">
        <f>IF((P123="t"),U123,U123-1000)</f>
        <v>-880</v>
      </c>
      <c r="E123" s="143" t="str">
        <f>IF(R123&gt;0,IF(N123="m",RANK(F123,F$7:F$126,1)-COUNTBLANK(N$7:N$126),""),"")</f>
        <v/>
      </c>
      <c r="F123" s="144">
        <f>IF((N123="m"),U123,U123-1000)</f>
        <v>-880</v>
      </c>
      <c r="G123" s="145" t="str">
        <f>IF(R123&gt;0,IF(M123="n",RANK(H123,H$7:H$126,1)-COUNTBLANK(M$7:M$126),""),"")</f>
        <v/>
      </c>
      <c r="H123" s="144">
        <f>IF((M123="n"),U123,U123-1000)</f>
        <v>120</v>
      </c>
      <c r="I123" s="160" t="str">
        <f>IF(R123&gt;0,IF(O123="j",RANK(J123,J$7:J$126,1)-COUNTBLANK(O$7:O$126),""),"")</f>
        <v/>
      </c>
      <c r="J123" s="161">
        <f>IF((O123="j"),U123,U123-1000)</f>
        <v>-880</v>
      </c>
      <c r="K123" s="162" t="str">
        <f>IF(R123&gt;0,RANK(U123,U$7:U$126,1),"")</f>
        <v/>
      </c>
      <c r="L123" s="163" t="s">
        <v>316</v>
      </c>
      <c r="M123" s="164" t="s">
        <v>203</v>
      </c>
      <c r="N123" s="165"/>
      <c r="O123" s="166"/>
      <c r="P123" s="167"/>
      <c r="Q123" s="192"/>
      <c r="R123" s="154">
        <f>(IF(COUNT(Z123,AA123,AB123,AC123,AD123,AE123,AF123,AG123,AH123,AI123)&lt;10,SUM(Z123,AA123,AB123,AC123,AD123,AE123,AF123,AG123,AH123,AI123),SUM(LARGE((Z123,AA123,AB123,AC123,AD123,AE123,AF123,AG123,AH123,AI123),{1;2;3;4;5;6;7;8;9}))))</f>
        <v>0</v>
      </c>
      <c r="S123" s="193" t="str">
        <f>INDEX(ETAPP!B$1:B$32,MATCH(COUNTIF(BI123:BR123,1),ETAPP!A$1:A$32,0))&amp;INDEX(ETAPP!B$1:B$32,MATCH(COUNTIF(BI123:BR123,2),ETAPP!A$1:A$32,0))&amp;INDEX(ETAPP!B$1:B$32,MATCH(COUNTIF(BI123:BR123,3),ETAPP!A$1:A$32,0))&amp;INDEX(ETAPP!B$1:B$32,MATCH(COUNTIF(BI123:BR123,4),ETAPP!A$1:A$32,0))&amp;INDEX(ETAPP!B$1:B$32,MATCH(COUNTIF(BI123:BR123,5),ETAPP!A$1:A$32,0))&amp;INDEX(ETAPP!B$1:B$32,MATCH(COUNTIF(BI123:BR123,6),ETAPP!A$1:A$32,0))&amp;INDEX(ETAPP!B$1:B$32,MATCH(COUNTIF(BI123:BR123,7),ETAPP!A$1:A$32,0))&amp;INDEX(ETAPP!B$1:B$32,MATCH(COUNTIF(BI123:BR123,8),ETAPP!A$1:A$32,0))&amp;INDEX(ETAPP!B$1:B$32,MATCH(COUNTIF(BI123:BR123,9),ETAPP!A$1:A$32,0))&amp;INDEX(ETAPP!B$1:B$32,MATCH(COUNTIF(BI123:BR123,10),ETAPP!A$1:A$32,0))&amp;INDEX(ETAPP!B$1:B$32,MATCH(COUNTIF(BI123:BR123,11),ETAPP!A$1:A$32,0))&amp;INDEX(ETAPP!B$1:B$32,MATCH(COUNTIF(BI123:BR123,12),ETAPP!A$1:A$32,0))&amp;INDEX(ETAPP!B$1:B$32,MATCH(COUNTIF(BI123:BR123,13),ETAPP!A$1:A$32,0))&amp;INDEX(ETAPP!B$1:B$32,MATCH(COUNTIF(BI123:BR123,14),ETAPP!A$1:A$32,0))&amp;INDEX(ETAPP!B$1:B$32,MATCH(COUNTIF(BI123:BR123,15),ETAPP!A$1:A$32,0))&amp;INDEX(ETAPP!B$1:B$32,MATCH(COUNTIF(BI123:BR123,16),ETAPP!A$1:A$32,0))&amp;INDEX(ETAPP!B$1:B$32,MATCH(COUNTIF(BI123:BR123,17),ETAPP!A$1:A$32,0))&amp;INDEX(ETAPP!B$1:B$32,MATCH(COUNTIF(BI123:BR123,18),ETAPP!A$1:A$32,0))&amp;INDEX(ETAPP!B$1:B$32,MATCH(COUNTIF(BI123:BR123,19),ETAPP!A$1:A$32,0))&amp;INDEX(ETAPP!B$1:B$32,MATCH(COUNTIF(BI123:BR123,20),ETAPP!A$1:A$32,0))&amp;INDEX(ETAPP!B$1:B$32,MATCH(COUNTIF(BI123:BR123,21),ETAPP!A$1:A$32,0))</f>
        <v>000000000000000000000</v>
      </c>
      <c r="T123" s="193" t="str">
        <f>TEXT(R123,"000,0")&amp;"-"&amp;S123</f>
        <v>000,0-000000000000000000000</v>
      </c>
      <c r="U123" s="193">
        <f>COUNTIF(T$7:T$126,"&gt;="&amp;T123)</f>
        <v>120</v>
      </c>
      <c r="V123" s="193">
        <f>COUNTIF(L$7:L$126,"&gt;="&amp;L123)</f>
        <v>4</v>
      </c>
      <c r="W123" s="193" t="str">
        <f>TEXT(R123,"000,0")&amp;"-"&amp;S123&amp;"-"&amp;TEXT(V123,"000")</f>
        <v>000,0-000000000000000000000-004</v>
      </c>
      <c r="X123" s="193">
        <f>COUNTIF(W$7:W$126,"&gt;="&amp;W123)</f>
        <v>117</v>
      </c>
      <c r="Y123" s="201">
        <f>RANK(X123,X$7:X$126,0)</f>
        <v>4</v>
      </c>
      <c r="Z123" s="202" t="str">
        <f>IFERROR(INDEX('V1'!C$300:C$400,MATCH("*"&amp;L123&amp;"*",'V1'!B$300:B$400,0)),"  ")</f>
        <v>  </v>
      </c>
      <c r="AA123" s="202" t="str">
        <f>IFERROR(INDEX('V2'!C$300:C$400,MATCH("*"&amp;L123&amp;"*",'V2'!B$300:B$400,0)),"  ")</f>
        <v>  </v>
      </c>
      <c r="AB123" s="202" t="str">
        <f>IFERROR(INDEX('V3'!C$300:C$400,MATCH("*"&amp;L123&amp;"*",'V3'!B$300:B$400,0)),"  ")</f>
        <v>  </v>
      </c>
      <c r="AC123" s="202" t="str">
        <f>IFERROR(INDEX('V4'!C$300:C$400,MATCH("*"&amp;L123&amp;"*",'V4'!B$300:B$400,0)),"  ")</f>
        <v>  </v>
      </c>
      <c r="AD123" s="202" t="str">
        <f>IFERROR(INDEX('V5'!C$300:C$400,MATCH("*"&amp;L123&amp;"*",'V5'!B$300:B$400,0)),"  ")</f>
        <v>  </v>
      </c>
      <c r="AE123" s="202" t="str">
        <f>IFERROR(INDEX('V6'!C$300:C$400,MATCH("*"&amp;L123&amp;"*",'V6'!B$300:B$400,0)),"  ")</f>
        <v>  </v>
      </c>
      <c r="AF123" s="202" t="str">
        <f>IFERROR(INDEX('V7'!C$300:C$400,MATCH("*"&amp;L123&amp;"*",'V7'!B$300:B$400,0)),"  ")</f>
        <v>  </v>
      </c>
      <c r="AG123" s="202" t="str">
        <f>IFERROR(INDEX('V8'!C$300:C$400,MATCH("*"&amp;L123&amp;"*",'V8'!B$300:B$400,0)),"  ")</f>
        <v>  </v>
      </c>
      <c r="AH123" s="202"/>
      <c r="AI123" s="202"/>
      <c r="AJ123" s="222" t="str">
        <f>IF(AN123&gt;(AT$2-1),K123,"")</f>
        <v/>
      </c>
      <c r="AK123" s="223">
        <f>SUM(Z123:AI123)</f>
        <v>0</v>
      </c>
      <c r="AL123" s="224" t="str">
        <f>IFERROR("edasi "&amp;RANK(AJ123,AJ$7:AJ$126,1),K123)</f>
        <v/>
      </c>
      <c r="AM123" s="225" t="str">
        <f>IFERROR(INDEX(#REF!,MATCH("*"&amp;L123&amp;"*",#REF!,0)),"  ")</f>
        <v>  </v>
      </c>
      <c r="AN123" s="226">
        <f>COUNTIF(Z123:AI123,"&gt;=0")</f>
        <v>0</v>
      </c>
      <c r="AO123" s="126">
        <f>IFERROR(IF(Z123+1&gt;LARGE(Z$7:Z$126,1)-2*LEN(Z$5),1),0)+IFERROR(IF(AA123+1&gt;LARGE(AA$7:AA$126,1)-2*LEN(AA$5),1),0)+IFERROR(IF(AB123+1&gt;LARGE(AB$7:AB$126,1)-2*LEN(AB$5),1),0)+IFERROR(IF(AC123+1&gt;LARGE(AC$7:AC$126,1)-2*LEN(AC$5),1),0)+IFERROR(IF(AD123+1&gt;LARGE(AD$7:AD$126,1)-2*LEN(AD$5),1),0)+IFERROR(IF(AE123+1&gt;LARGE(AE$7:AE$126,1)-2*LEN(AE$5),1),0)+IFERROR(IF(AF123+1&gt;LARGE(AF$7:AF$126,1)-2*LEN(AF$5),1),0)+IFERROR(IF(AG123+1&gt;LARGE(AG$7:AG$126,1)-2*LEN(AG$5),1),0)+IFERROR(IF(AH123+1&gt;LARGE(AH$7:AH$126,1)-2*LEN(AH$5),1),0)+IFERROR(IF(AI123+1&gt;LARGE(AI$7:AI$126,1)-2*LEN(AI$5),1),0)</f>
        <v>0</v>
      </c>
      <c r="AP123" s="126">
        <f>IF(Z123=0,0,IF(Z123=IFERROR(LARGE(Z$7:Z$126,1),0),1,0))+IF(AA123=0,0,IF(AA123=IFERROR(LARGE(AA$7:AA$126,1),0),1,0))+IF(AB123=0,0,IF(AB123=IFERROR(LARGE(AB$7:AB$126,1),0),1,0))+IF(AC123=0,0,IF(AC123=IFERROR(LARGE(AC$7:AC$126,1),0),1,0))+IF(AD123=0,0,IF(AD123=IFERROR(LARGE(AD$7:AD$126,1),0),1,0))+IF(AE123=0,0,IF(AE123=IFERROR(LARGE(AE$7:AE$126,1),0),1,0))+IF(AF123=0,0,IF(AF123=IFERROR(LARGE(AF$7:AF$126,1),0),1,0))+IF(AG123=0,0,IF(AG123=IFERROR(LARGE(AG$7:AG$126,1),0),1,0))+IF(AH123=0,0,IF(AH123=IFERROR(LARGE(AH$7:AH$126,1),0),1,0))+IF(AI123=0,0,IF(AI123=IFERROR(LARGE(AI$7:AI$126,1),0),1,0))</f>
        <v>0</v>
      </c>
      <c r="AQ123" s="233"/>
      <c r="AR123" s="233"/>
      <c r="AS123" s="233"/>
      <c r="AT123" s="234">
        <f>SMALL(AU123:BD123,AT$3)</f>
        <v>0.0001</v>
      </c>
      <c r="AU123" s="235">
        <f t="shared" ref="AU123:BD123" si="1">IF(Z123="  ",0+MID(Z$6,FIND("V",Z$6)+1,256)/10000,Z123+MID(Z$6,FIND("V",Z$6)+1,256)/10000)</f>
        <v>0.0001</v>
      </c>
      <c r="AV123" s="235">
        <f t="shared" si="1"/>
        <v>0.0002</v>
      </c>
      <c r="AW123" s="235">
        <f t="shared" si="1"/>
        <v>0.0003</v>
      </c>
      <c r="AX123" s="235">
        <f t="shared" si="1"/>
        <v>0.0004</v>
      </c>
      <c r="AY123" s="235">
        <f t="shared" si="1"/>
        <v>0.0005</v>
      </c>
      <c r="AZ123" s="235">
        <f t="shared" si="1"/>
        <v>0.0006</v>
      </c>
      <c r="BA123" s="235">
        <f t="shared" si="1"/>
        <v>0.0007</v>
      </c>
      <c r="BB123" s="235">
        <f t="shared" si="1"/>
        <v>0.0008</v>
      </c>
      <c r="BC123" s="235">
        <f t="shared" si="1"/>
        <v>0.0009</v>
      </c>
      <c r="BD123" s="235">
        <f t="shared" si="1"/>
        <v>0.001</v>
      </c>
      <c r="BE123" s="233"/>
      <c r="BF123" s="233"/>
      <c r="BG123" s="233"/>
      <c r="BH123" s="233"/>
      <c r="BI123" s="3" t="e">
        <f t="shared" ref="BI123:BR123" si="2">(LARGE(Z$7:Z$126,1)-Z123)/2+1</f>
        <v>#VALUE!</v>
      </c>
      <c r="BJ123" s="3" t="e">
        <f t="shared" si="2"/>
        <v>#VALUE!</v>
      </c>
      <c r="BK123" s="3" t="e">
        <f t="shared" si="2"/>
        <v>#VALUE!</v>
      </c>
      <c r="BL123" s="3" t="e">
        <f t="shared" si="2"/>
        <v>#VALUE!</v>
      </c>
      <c r="BM123" s="3" t="e">
        <f t="shared" si="2"/>
        <v>#VALUE!</v>
      </c>
      <c r="BN123" s="3" t="e">
        <f t="shared" si="2"/>
        <v>#VALUE!</v>
      </c>
      <c r="BO123" s="3" t="e">
        <f t="shared" si="2"/>
        <v>#VALUE!</v>
      </c>
      <c r="BP123" s="3" t="e">
        <f t="shared" si="2"/>
        <v>#VALUE!</v>
      </c>
      <c r="BQ123" s="3" t="e">
        <f t="shared" si="2"/>
        <v>#NUM!</v>
      </c>
      <c r="BR123" s="3" t="e">
        <f t="shared" si="2"/>
        <v>#NUM!</v>
      </c>
    </row>
    <row r="124" ht="12.75" hidden="1" customHeight="1" spans="1:70">
      <c r="A124" s="139" t="str">
        <f>IF(R124&gt;0,IF(Q124="Viru SK",RANK(B124,B$7:B$126,1)-COUNTIF((Q$7:Q$126),"&lt;&gt;Viru SK"),""),"")</f>
        <v/>
      </c>
      <c r="B124" s="140">
        <f>IF((Q124="Viru SK"),U124,U124-1000)</f>
        <v>-880</v>
      </c>
      <c r="C124" s="141" t="str">
        <f>IF(R124&gt;0,IF(P124="t",RANK(D124,D$7:D$126,1)-COUNTBLANK(P$7:P$126),""),"")</f>
        <v/>
      </c>
      <c r="D124" s="142">
        <f>IF((P124="t"),U124,U124-1000)</f>
        <v>-880</v>
      </c>
      <c r="E124" s="143" t="str">
        <f>IF(R124&gt;0,IF(N124="m",RANK(F124,F$7:F$126,1)-COUNTBLANK(N$7:N$126),""),"")</f>
        <v/>
      </c>
      <c r="F124" s="144">
        <f>IF((N124="m"),U124,U124-1000)</f>
        <v>120</v>
      </c>
      <c r="G124" s="145" t="str">
        <f>IF(R124&gt;0,IF(M124="n",RANK(H124,H$7:H$126,1)-COUNTBLANK(M$7:M$126),""),"")</f>
        <v/>
      </c>
      <c r="H124" s="144">
        <f>IF((M124="n"),U124,U124-1000)</f>
        <v>-880</v>
      </c>
      <c r="I124" s="160" t="str">
        <f>IF(R124&gt;0,IF(O124="j",RANK(J124,J$7:J$126,1)-COUNTBLANK(O$7:O$126),""),"")</f>
        <v/>
      </c>
      <c r="J124" s="161">
        <f>IF((O124="j"),U124,U124-1000)</f>
        <v>-880</v>
      </c>
      <c r="K124" s="162" t="str">
        <f>IF(R124&gt;0,RANK(U124,U$7:U$126,1),"")</f>
        <v/>
      </c>
      <c r="L124" s="163" t="s">
        <v>317</v>
      </c>
      <c r="M124" s="164"/>
      <c r="N124" s="165" t="s">
        <v>193</v>
      </c>
      <c r="O124" s="166"/>
      <c r="P124" s="167"/>
      <c r="Q124" s="192" t="s">
        <v>293</v>
      </c>
      <c r="R124" s="154">
        <f>(IF(COUNT(Z124,AA124,AB124,AC124,AD124,AE124,AF124,AG124,AH124,AI124)&lt;10,SUM(Z124,AA124,AB124,AC124,AD124,AE124,AF124,AG124,AH124,AI124),SUM(LARGE((Z124,AA124,AB124,AC124,AD124,AE124,AF124,AG124,AH124,AI124),{1;2;3;4;5;6;7;8;9}))))</f>
        <v>0</v>
      </c>
      <c r="S124" s="193" t="str">
        <f>INDEX(ETAPP!B$1:B$32,MATCH(COUNTIF(BI124:BR124,1),ETAPP!A$1:A$32,0))&amp;INDEX(ETAPP!B$1:B$32,MATCH(COUNTIF(BI124:BR124,2),ETAPP!A$1:A$32,0))&amp;INDEX(ETAPP!B$1:B$32,MATCH(COUNTIF(BI124:BR124,3),ETAPP!A$1:A$32,0))&amp;INDEX(ETAPP!B$1:B$32,MATCH(COUNTIF(BI124:BR124,4),ETAPP!A$1:A$32,0))&amp;INDEX(ETAPP!B$1:B$32,MATCH(COUNTIF(BI124:BR124,5),ETAPP!A$1:A$32,0))&amp;INDEX(ETAPP!B$1:B$32,MATCH(COUNTIF(BI124:BR124,6),ETAPP!A$1:A$32,0))&amp;INDEX(ETAPP!B$1:B$32,MATCH(COUNTIF(BI124:BR124,7),ETAPP!A$1:A$32,0))&amp;INDEX(ETAPP!B$1:B$32,MATCH(COUNTIF(BI124:BR124,8),ETAPP!A$1:A$32,0))&amp;INDEX(ETAPP!B$1:B$32,MATCH(COUNTIF(BI124:BR124,9),ETAPP!A$1:A$32,0))&amp;INDEX(ETAPP!B$1:B$32,MATCH(COUNTIF(BI124:BR124,10),ETAPP!A$1:A$32,0))&amp;INDEX(ETAPP!B$1:B$32,MATCH(COUNTIF(BI124:BR124,11),ETAPP!A$1:A$32,0))&amp;INDEX(ETAPP!B$1:B$32,MATCH(COUNTIF(BI124:BR124,12),ETAPP!A$1:A$32,0))&amp;INDEX(ETAPP!B$1:B$32,MATCH(COUNTIF(BI124:BR124,13),ETAPP!A$1:A$32,0))&amp;INDEX(ETAPP!B$1:B$32,MATCH(COUNTIF(BI124:BR124,14),ETAPP!A$1:A$32,0))&amp;INDEX(ETAPP!B$1:B$32,MATCH(COUNTIF(BI124:BR124,15),ETAPP!A$1:A$32,0))&amp;INDEX(ETAPP!B$1:B$32,MATCH(COUNTIF(BI124:BR124,16),ETAPP!A$1:A$32,0))&amp;INDEX(ETAPP!B$1:B$32,MATCH(COUNTIF(BI124:BR124,17),ETAPP!A$1:A$32,0))&amp;INDEX(ETAPP!B$1:B$32,MATCH(COUNTIF(BI124:BR124,18),ETAPP!A$1:A$32,0))&amp;INDEX(ETAPP!B$1:B$32,MATCH(COUNTIF(BI124:BR124,19),ETAPP!A$1:A$32,0))&amp;INDEX(ETAPP!B$1:B$32,MATCH(COUNTIF(BI124:BR124,20),ETAPP!A$1:A$32,0))&amp;INDEX(ETAPP!B$1:B$32,MATCH(COUNTIF(BI124:BR124,21),ETAPP!A$1:A$32,0))</f>
        <v>000000000000000000000</v>
      </c>
      <c r="T124" s="193" t="str">
        <f>TEXT(R124,"000,0")&amp;"-"&amp;S124</f>
        <v>000,0-000000000000000000000</v>
      </c>
      <c r="U124" s="193">
        <f>COUNTIF(T$7:T$126,"&gt;="&amp;T124)</f>
        <v>120</v>
      </c>
      <c r="V124" s="193">
        <f>COUNTIF(L$7:L$126,"&gt;="&amp;L124)</f>
        <v>3</v>
      </c>
      <c r="W124" s="193" t="str">
        <f>TEXT(R124,"000,0")&amp;"-"&amp;S124&amp;"-"&amp;TEXT(V124,"000")</f>
        <v>000,0-000000000000000000000-003</v>
      </c>
      <c r="X124" s="193">
        <f>COUNTIF(W$7:W$126,"&gt;="&amp;W124)</f>
        <v>118</v>
      </c>
      <c r="Y124" s="201">
        <f>RANK(X124,X$7:X$126,0)</f>
        <v>3</v>
      </c>
      <c r="Z124" s="202" t="str">
        <f>IFERROR(INDEX('V1'!C$300:C$400,MATCH("*"&amp;L124&amp;"*",'V1'!B$300:B$400,0)),"  ")</f>
        <v>  </v>
      </c>
      <c r="AA124" s="202" t="str">
        <f>IFERROR(INDEX('V2'!C$300:C$400,MATCH("*"&amp;L124&amp;"*",'V2'!B$300:B$400,0)),"  ")</f>
        <v>  </v>
      </c>
      <c r="AB124" s="202" t="str">
        <f>IFERROR(INDEX('V3'!C$300:C$400,MATCH("*"&amp;L124&amp;"*",'V3'!B$300:B$400,0)),"  ")</f>
        <v>  </v>
      </c>
      <c r="AC124" s="202" t="str">
        <f>IFERROR(INDEX('V4'!C$300:C$400,MATCH("*"&amp;L124&amp;"*",'V4'!B$300:B$400,0)),"  ")</f>
        <v>  </v>
      </c>
      <c r="AD124" s="202" t="str">
        <f>IFERROR(INDEX('V5'!C$300:C$400,MATCH("*"&amp;L124&amp;"*",'V5'!B$300:B$400,0)),"  ")</f>
        <v>  </v>
      </c>
      <c r="AE124" s="202" t="str">
        <f>IFERROR(INDEX('V6'!C$300:C$400,MATCH("*"&amp;L124&amp;"*",'V6'!B$300:B$400,0)),"  ")</f>
        <v>  </v>
      </c>
      <c r="AF124" s="202" t="str">
        <f>IFERROR(INDEX('V7'!C$300:C$400,MATCH("*"&amp;L124&amp;"*",'V7'!B$300:B$400,0)),"  ")</f>
        <v>  </v>
      </c>
      <c r="AG124" s="202" t="str">
        <f>IFERROR(INDEX('V8'!C$300:C$400,MATCH("*"&amp;L124&amp;"*",'V8'!B$300:B$400,0)),"  ")</f>
        <v>  </v>
      </c>
      <c r="AH124" s="202"/>
      <c r="AI124" s="202"/>
      <c r="AJ124" s="222" t="str">
        <f>IF(AN124&gt;(AT$2-1),K124,"")</f>
        <v/>
      </c>
      <c r="AK124" s="223">
        <f>SUM(Z124:AI124)</f>
        <v>0</v>
      </c>
      <c r="AL124" s="224" t="str">
        <f>IFERROR("edasi "&amp;RANK(AJ124,AJ$7:AJ$126,1),K124)</f>
        <v/>
      </c>
      <c r="AM124" s="225" t="str">
        <f>IFERROR(INDEX(#REF!,MATCH("*"&amp;L124&amp;"*",#REF!,0)),"  ")</f>
        <v>  </v>
      </c>
      <c r="AN124" s="226">
        <f>COUNTIF(Z124:AI124,"&gt;=0")</f>
        <v>0</v>
      </c>
      <c r="AO124" s="126">
        <f>IFERROR(IF(Z124+1&gt;LARGE(Z$7:Z$126,1)-2*LEN(Z$5),1),0)+IFERROR(IF(AA124+1&gt;LARGE(AA$7:AA$126,1)-2*LEN(AA$5),1),0)+IFERROR(IF(AB124+1&gt;LARGE(AB$7:AB$126,1)-2*LEN(AB$5),1),0)+IFERROR(IF(AC124+1&gt;LARGE(AC$7:AC$126,1)-2*LEN(AC$5),1),0)+IFERROR(IF(AD124+1&gt;LARGE(AD$7:AD$126,1)-2*LEN(AD$5),1),0)+IFERROR(IF(AE124+1&gt;LARGE(AE$7:AE$126,1)-2*LEN(AE$5),1),0)+IFERROR(IF(AF124+1&gt;LARGE(AF$7:AF$126,1)-2*LEN(AF$5),1),0)+IFERROR(IF(AG124+1&gt;LARGE(AG$7:AG$126,1)-2*LEN(AG$5),1),0)+IFERROR(IF(AH124+1&gt;LARGE(AH$7:AH$126,1)-2*LEN(AH$5),1),0)+IFERROR(IF(AI124+1&gt;LARGE(AI$7:AI$126,1)-2*LEN(AI$5),1),0)</f>
        <v>0</v>
      </c>
      <c r="AP124" s="126">
        <f>IF(Z124=0,0,IF(Z124=IFERROR(LARGE(Z$7:Z$126,1),0),1,0))+IF(AA124=0,0,IF(AA124=IFERROR(LARGE(AA$7:AA$126,1),0),1,0))+IF(AB124=0,0,IF(AB124=IFERROR(LARGE(AB$7:AB$126,1),0),1,0))+IF(AC124=0,0,IF(AC124=IFERROR(LARGE(AC$7:AC$126,1),0),1,0))+IF(AD124=0,0,IF(AD124=IFERROR(LARGE(AD$7:AD$126,1),0),1,0))+IF(AE124=0,0,IF(AE124=IFERROR(LARGE(AE$7:AE$126,1),0),1,0))+IF(AF124=0,0,IF(AF124=IFERROR(LARGE(AF$7:AF$126,1),0),1,0))+IF(AG124=0,0,IF(AG124=IFERROR(LARGE(AG$7:AG$126,1),0),1,0))+IF(AH124=0,0,IF(AH124=IFERROR(LARGE(AH$7:AH$126,1),0),1,0))+IF(AI124=0,0,IF(AI124=IFERROR(LARGE(AI$7:AI$126,1),0),1,0))</f>
        <v>0</v>
      </c>
      <c r="AQ124" s="233"/>
      <c r="AR124" s="233"/>
      <c r="AS124" s="233"/>
      <c r="AT124" s="234">
        <f>SMALL(AU124:BD124,AT$3)</f>
        <v>0.0001</v>
      </c>
      <c r="AU124" s="235">
        <f t="shared" ref="AU124:BD124" si="3">IF(Z124="  ",0+MID(Z$6,FIND("V",Z$6)+1,256)/10000,Z124+MID(Z$6,FIND("V",Z$6)+1,256)/10000)</f>
        <v>0.0001</v>
      </c>
      <c r="AV124" s="235">
        <f t="shared" si="3"/>
        <v>0.0002</v>
      </c>
      <c r="AW124" s="235">
        <f t="shared" si="3"/>
        <v>0.0003</v>
      </c>
      <c r="AX124" s="235">
        <f t="shared" si="3"/>
        <v>0.0004</v>
      </c>
      <c r="AY124" s="235">
        <f t="shared" si="3"/>
        <v>0.0005</v>
      </c>
      <c r="AZ124" s="235">
        <f t="shared" si="3"/>
        <v>0.0006</v>
      </c>
      <c r="BA124" s="235">
        <f t="shared" si="3"/>
        <v>0.0007</v>
      </c>
      <c r="BB124" s="235">
        <f t="shared" si="3"/>
        <v>0.0008</v>
      </c>
      <c r="BC124" s="235">
        <f t="shared" si="3"/>
        <v>0.0009</v>
      </c>
      <c r="BD124" s="235">
        <f t="shared" si="3"/>
        <v>0.001</v>
      </c>
      <c r="BE124" s="233"/>
      <c r="BF124" s="233"/>
      <c r="BG124" s="233"/>
      <c r="BH124" s="233"/>
      <c r="BI124" s="3" t="e">
        <f t="shared" ref="BI124:BR124" si="4">(LARGE(Z$7:Z$126,1)-Z124)/2+1</f>
        <v>#VALUE!</v>
      </c>
      <c r="BJ124" s="3" t="e">
        <f t="shared" si="4"/>
        <v>#VALUE!</v>
      </c>
      <c r="BK124" s="3" t="e">
        <f t="shared" si="4"/>
        <v>#VALUE!</v>
      </c>
      <c r="BL124" s="3" t="e">
        <f t="shared" si="4"/>
        <v>#VALUE!</v>
      </c>
      <c r="BM124" s="3" t="e">
        <f t="shared" si="4"/>
        <v>#VALUE!</v>
      </c>
      <c r="BN124" s="3" t="e">
        <f t="shared" si="4"/>
        <v>#VALUE!</v>
      </c>
      <c r="BO124" s="3" t="e">
        <f t="shared" si="4"/>
        <v>#VALUE!</v>
      </c>
      <c r="BP124" s="3" t="e">
        <f t="shared" si="4"/>
        <v>#VALUE!</v>
      </c>
      <c r="BQ124" s="3" t="e">
        <f t="shared" si="4"/>
        <v>#NUM!</v>
      </c>
      <c r="BR124" s="3" t="e">
        <f t="shared" si="4"/>
        <v>#NUM!</v>
      </c>
    </row>
    <row r="125" ht="12.75" hidden="1" customHeight="1" spans="1:70">
      <c r="A125" s="139" t="str">
        <f>IF(R125&gt;0,IF(Q125="Viru SK",RANK(B125,B$7:B$126,1)-COUNTIF((Q$7:Q$126),"&lt;&gt;Viru SK"),""),"")</f>
        <v/>
      </c>
      <c r="B125" s="140">
        <f>IF((Q125="Viru SK"),U125,U125-1000)</f>
        <v>-880</v>
      </c>
      <c r="C125" s="141" t="str">
        <f>IF(R125&gt;0,IF(P125="t",RANK(D125,D$7:D$126,1)-COUNTBLANK(P$7:P$126),""),"")</f>
        <v/>
      </c>
      <c r="D125" s="142">
        <f>IF((P125="t"),U125,U125-1000)</f>
        <v>-880</v>
      </c>
      <c r="E125" s="143" t="str">
        <f>IF(R125&gt;0,IF(N125="m",RANK(F125,F$7:F$126,1)-COUNTBLANK(N$7:N$126),""),"")</f>
        <v/>
      </c>
      <c r="F125" s="144">
        <f>IF((N125="m"),U125,U125-1000)</f>
        <v>120</v>
      </c>
      <c r="G125" s="145" t="str">
        <f>IF(R125&gt;0,IF(M125="n",RANK(H125,H$7:H$126,1)-COUNTBLANK(M$7:M$126),""),"")</f>
        <v/>
      </c>
      <c r="H125" s="144">
        <f>IF((M125="n"),U125,U125-1000)</f>
        <v>-880</v>
      </c>
      <c r="I125" s="160" t="str">
        <f>IF(R125&gt;0,IF(O125="j",RANK(J125,J$7:J$126,1)-COUNTBLANK(O$7:O$126),""),"")</f>
        <v/>
      </c>
      <c r="J125" s="161">
        <f>IF((O125="j"),U125,U125-1000)</f>
        <v>120</v>
      </c>
      <c r="K125" s="162" t="str">
        <f>IF(R125&gt;0,RANK(U125,U$7:U$126,1),"")</f>
        <v/>
      </c>
      <c r="L125" s="163" t="s">
        <v>318</v>
      </c>
      <c r="M125" s="164"/>
      <c r="N125" s="165" t="s">
        <v>193</v>
      </c>
      <c r="O125" s="166" t="s">
        <v>251</v>
      </c>
      <c r="P125" s="167"/>
      <c r="Q125" s="192"/>
      <c r="R125" s="154">
        <f>(IF(COUNT(Z125,AA125,AB125,AC125,AD125,AE125,AF125,AG125,AH125,AI125)&lt;10,SUM(Z125,AA125,AB125,AC125,AD125,AE125,AF125,AG125,AH125,AI125),SUM(LARGE((Z125,AA125,AB125,AC125,AD125,AE125,AF125,AG125,AH125,AI125),{1;2;3;4;5;6;7;8;9}))))</f>
        <v>0</v>
      </c>
      <c r="S125" s="193" t="str">
        <f>INDEX(ETAPP!B$1:B$32,MATCH(COUNTIF(BI125:BR125,1),ETAPP!A$1:A$32,0))&amp;INDEX(ETAPP!B$1:B$32,MATCH(COUNTIF(BI125:BR125,2),ETAPP!A$1:A$32,0))&amp;INDEX(ETAPP!B$1:B$32,MATCH(COUNTIF(BI125:BR125,3),ETAPP!A$1:A$32,0))&amp;INDEX(ETAPP!B$1:B$32,MATCH(COUNTIF(BI125:BR125,4),ETAPP!A$1:A$32,0))&amp;INDEX(ETAPP!B$1:B$32,MATCH(COUNTIF(BI125:BR125,5),ETAPP!A$1:A$32,0))&amp;INDEX(ETAPP!B$1:B$32,MATCH(COUNTIF(BI125:BR125,6),ETAPP!A$1:A$32,0))&amp;INDEX(ETAPP!B$1:B$32,MATCH(COUNTIF(BI125:BR125,7),ETAPP!A$1:A$32,0))&amp;INDEX(ETAPP!B$1:B$32,MATCH(COUNTIF(BI125:BR125,8),ETAPP!A$1:A$32,0))&amp;INDEX(ETAPP!B$1:B$32,MATCH(COUNTIF(BI125:BR125,9),ETAPP!A$1:A$32,0))&amp;INDEX(ETAPP!B$1:B$32,MATCH(COUNTIF(BI125:BR125,10),ETAPP!A$1:A$32,0))&amp;INDEX(ETAPP!B$1:B$32,MATCH(COUNTIF(BI125:BR125,11),ETAPP!A$1:A$32,0))&amp;INDEX(ETAPP!B$1:B$32,MATCH(COUNTIF(BI125:BR125,12),ETAPP!A$1:A$32,0))&amp;INDEX(ETAPP!B$1:B$32,MATCH(COUNTIF(BI125:BR125,13),ETAPP!A$1:A$32,0))&amp;INDEX(ETAPP!B$1:B$32,MATCH(COUNTIF(BI125:BR125,14),ETAPP!A$1:A$32,0))&amp;INDEX(ETAPP!B$1:B$32,MATCH(COUNTIF(BI125:BR125,15),ETAPP!A$1:A$32,0))&amp;INDEX(ETAPP!B$1:B$32,MATCH(COUNTIF(BI125:BR125,16),ETAPP!A$1:A$32,0))&amp;INDEX(ETAPP!B$1:B$32,MATCH(COUNTIF(BI125:BR125,17),ETAPP!A$1:A$32,0))&amp;INDEX(ETAPP!B$1:B$32,MATCH(COUNTIF(BI125:BR125,18),ETAPP!A$1:A$32,0))&amp;INDEX(ETAPP!B$1:B$32,MATCH(COUNTIF(BI125:BR125,19),ETAPP!A$1:A$32,0))&amp;INDEX(ETAPP!B$1:B$32,MATCH(COUNTIF(BI125:BR125,20),ETAPP!A$1:A$32,0))&amp;INDEX(ETAPP!B$1:B$32,MATCH(COUNTIF(BI125:BR125,21),ETAPP!A$1:A$32,0))</f>
        <v>000000000000000000000</v>
      </c>
      <c r="T125" s="193" t="str">
        <f>TEXT(R125,"000,0")&amp;"-"&amp;S125</f>
        <v>000,0-000000000000000000000</v>
      </c>
      <c r="U125" s="193">
        <f>COUNTIF(T$7:T$126,"&gt;="&amp;T125)</f>
        <v>120</v>
      </c>
      <c r="V125" s="193">
        <f>COUNTIF(L$7:L$126,"&gt;="&amp;L125)</f>
        <v>2</v>
      </c>
      <c r="W125" s="193" t="str">
        <f>TEXT(R125,"000,0")&amp;"-"&amp;S125&amp;"-"&amp;TEXT(V125,"000")</f>
        <v>000,0-000000000000000000000-002</v>
      </c>
      <c r="X125" s="193">
        <f>COUNTIF(W$7:W$126,"&gt;="&amp;W125)</f>
        <v>119</v>
      </c>
      <c r="Y125" s="201">
        <f>RANK(X125,X$7:X$126,0)</f>
        <v>2</v>
      </c>
      <c r="Z125" s="202" t="str">
        <f>IFERROR(INDEX('V1'!C$300:C$400,MATCH("*"&amp;L125&amp;"*",'V1'!B$300:B$400,0)),"  ")</f>
        <v>  </v>
      </c>
      <c r="AA125" s="202" t="str">
        <f>IFERROR(INDEX('V2'!C$300:C$400,MATCH("*"&amp;L125&amp;"*",'V2'!B$300:B$400,0)),"  ")</f>
        <v>  </v>
      </c>
      <c r="AB125" s="202" t="str">
        <f>IFERROR(INDEX('V3'!C$300:C$400,MATCH("*"&amp;L125&amp;"*",'V3'!B$300:B$400,0)),"  ")</f>
        <v>  </v>
      </c>
      <c r="AC125" s="202" t="str">
        <f>IFERROR(INDEX('V4'!C$300:C$400,MATCH("*"&amp;L125&amp;"*",'V4'!B$300:B$400,0)),"  ")</f>
        <v>  </v>
      </c>
      <c r="AD125" s="202" t="str">
        <f>IFERROR(INDEX('V5'!C$300:C$400,MATCH("*"&amp;L125&amp;"*",'V5'!B$300:B$400,0)),"  ")</f>
        <v>  </v>
      </c>
      <c r="AE125" s="202" t="str">
        <f>IFERROR(INDEX('V6'!C$300:C$400,MATCH("*"&amp;L125&amp;"*",'V6'!B$300:B$400,0)),"  ")</f>
        <v>  </v>
      </c>
      <c r="AF125" s="202" t="str">
        <f>IFERROR(INDEX('V7'!C$300:C$400,MATCH("*"&amp;L125&amp;"*",'V7'!B$300:B$400,0)),"  ")</f>
        <v>  </v>
      </c>
      <c r="AG125" s="202" t="str">
        <f>IFERROR(INDEX('V8'!C$300:C$400,MATCH("*"&amp;L125&amp;"*",'V8'!B$300:B$400,0)),"  ")</f>
        <v>  </v>
      </c>
      <c r="AH125" s="202"/>
      <c r="AI125" s="202"/>
      <c r="AJ125" s="222" t="str">
        <f>IF(AN125&gt;(AT$2-1),K125,"")</f>
        <v/>
      </c>
      <c r="AK125" s="223">
        <f>SUM(Z125:AI125)</f>
        <v>0</v>
      </c>
      <c r="AL125" s="224" t="str">
        <f>IFERROR("edasi "&amp;RANK(AJ125,AJ$7:AJ$126,1),K125)</f>
        <v/>
      </c>
      <c r="AM125" s="225" t="str">
        <f>IFERROR(INDEX(#REF!,MATCH("*"&amp;L125&amp;"*",#REF!,0)),"  ")</f>
        <v>  </v>
      </c>
      <c r="AN125" s="226">
        <f>COUNTIF(Z125:AI125,"&gt;=0")</f>
        <v>0</v>
      </c>
      <c r="AO125" s="126">
        <f>IFERROR(IF(Z125+1&gt;LARGE(Z$7:Z$126,1)-2*LEN(Z$5),1),0)+IFERROR(IF(AA125+1&gt;LARGE(AA$7:AA$126,1)-2*LEN(AA$5),1),0)+IFERROR(IF(AB125+1&gt;LARGE(AB$7:AB$126,1)-2*LEN(AB$5),1),0)+IFERROR(IF(AC125+1&gt;LARGE(AC$7:AC$126,1)-2*LEN(AC$5),1),0)+IFERROR(IF(AD125+1&gt;LARGE(AD$7:AD$126,1)-2*LEN(AD$5),1),0)+IFERROR(IF(AE125+1&gt;LARGE(AE$7:AE$126,1)-2*LEN(AE$5),1),0)+IFERROR(IF(AF125+1&gt;LARGE(AF$7:AF$126,1)-2*LEN(AF$5),1),0)+IFERROR(IF(AG125+1&gt;LARGE(AG$7:AG$126,1)-2*LEN(AG$5),1),0)+IFERROR(IF(AH125+1&gt;LARGE(AH$7:AH$126,1)-2*LEN(AH$5),1),0)+IFERROR(IF(AI125+1&gt;LARGE(AI$7:AI$126,1)-2*LEN(AI$5),1),0)</f>
        <v>0</v>
      </c>
      <c r="AP125" s="126">
        <f>IF(Z125=0,0,IF(Z125=IFERROR(LARGE(Z$7:Z$126,1),0),1,0))+IF(AA125=0,0,IF(AA125=IFERROR(LARGE(AA$7:AA$126,1),0),1,0))+IF(AB125=0,0,IF(AB125=IFERROR(LARGE(AB$7:AB$126,1),0),1,0))+IF(AC125=0,0,IF(AC125=IFERROR(LARGE(AC$7:AC$126,1),0),1,0))+IF(AD125=0,0,IF(AD125=IFERROR(LARGE(AD$7:AD$126,1),0),1,0))+IF(AE125=0,0,IF(AE125=IFERROR(LARGE(AE$7:AE$126,1),0),1,0))+IF(AF125=0,0,IF(AF125=IFERROR(LARGE(AF$7:AF$126,1),0),1,0))+IF(AG125=0,0,IF(AG125=IFERROR(LARGE(AG$7:AG$126,1),0),1,0))+IF(AH125=0,0,IF(AH125=IFERROR(LARGE(AH$7:AH$126,1),0),1,0))+IF(AI125=0,0,IF(AI125=IFERROR(LARGE(AI$7:AI$126,1),0),1,0))</f>
        <v>0</v>
      </c>
      <c r="AQ125" s="233"/>
      <c r="AR125" s="233"/>
      <c r="AS125" s="233"/>
      <c r="AT125" s="234">
        <f>SMALL(AU125:BD125,AT$3)</f>
        <v>0.0001</v>
      </c>
      <c r="AU125" s="235">
        <f t="shared" ref="AU125:BD125" si="5">IF(Z125="  ",0+MID(Z$6,FIND("V",Z$6)+1,256)/10000,Z125+MID(Z$6,FIND("V",Z$6)+1,256)/10000)</f>
        <v>0.0001</v>
      </c>
      <c r="AV125" s="235">
        <f t="shared" si="5"/>
        <v>0.0002</v>
      </c>
      <c r="AW125" s="235">
        <f t="shared" si="5"/>
        <v>0.0003</v>
      </c>
      <c r="AX125" s="235">
        <f t="shared" si="5"/>
        <v>0.0004</v>
      </c>
      <c r="AY125" s="235">
        <f t="shared" si="5"/>
        <v>0.0005</v>
      </c>
      <c r="AZ125" s="235">
        <f t="shared" si="5"/>
        <v>0.0006</v>
      </c>
      <c r="BA125" s="235">
        <f t="shared" si="5"/>
        <v>0.0007</v>
      </c>
      <c r="BB125" s="235">
        <f t="shared" si="5"/>
        <v>0.0008</v>
      </c>
      <c r="BC125" s="235">
        <f t="shared" si="5"/>
        <v>0.0009</v>
      </c>
      <c r="BD125" s="235">
        <f t="shared" si="5"/>
        <v>0.001</v>
      </c>
      <c r="BE125" s="233"/>
      <c r="BF125" s="233"/>
      <c r="BG125" s="233"/>
      <c r="BH125" s="233"/>
      <c r="BI125" s="3" t="e">
        <f t="shared" ref="BI125:BR125" si="6">(LARGE(Z$7:Z$126,1)-Z125)/2+1</f>
        <v>#VALUE!</v>
      </c>
      <c r="BJ125" s="3" t="e">
        <f t="shared" si="6"/>
        <v>#VALUE!</v>
      </c>
      <c r="BK125" s="3" t="e">
        <f t="shared" si="6"/>
        <v>#VALUE!</v>
      </c>
      <c r="BL125" s="3" t="e">
        <f t="shared" si="6"/>
        <v>#VALUE!</v>
      </c>
      <c r="BM125" s="3" t="e">
        <f t="shared" si="6"/>
        <v>#VALUE!</v>
      </c>
      <c r="BN125" s="3" t="e">
        <f t="shared" si="6"/>
        <v>#VALUE!</v>
      </c>
      <c r="BO125" s="3" t="e">
        <f t="shared" si="6"/>
        <v>#VALUE!</v>
      </c>
      <c r="BP125" s="3" t="e">
        <f t="shared" si="6"/>
        <v>#VALUE!</v>
      </c>
      <c r="BQ125" s="3" t="e">
        <f t="shared" si="6"/>
        <v>#NUM!</v>
      </c>
      <c r="BR125" s="3" t="e">
        <f t="shared" si="6"/>
        <v>#NUM!</v>
      </c>
    </row>
    <row r="126" ht="12.75" hidden="1" customHeight="1" spans="1:70">
      <c r="A126" s="139" t="str">
        <f>IF(R126&gt;0,IF(Q126="Viru SK",RANK(B126,B$7:B$126,1)-COUNTIF((Q$7:Q$126),"&lt;&gt;Viru SK"),""),"")</f>
        <v/>
      </c>
      <c r="B126" s="140">
        <f>IF((Q126="Viru SK"),U126,U126-1000)</f>
        <v>-880</v>
      </c>
      <c r="C126" s="141" t="str">
        <f>IF(R126&gt;0,IF(P126="t",RANK(D126,D$7:D$126,1)-COUNTBLANK(P$7:P$126),""),"")</f>
        <v/>
      </c>
      <c r="D126" s="142">
        <f>IF((P126="t"),U126,U126-1000)</f>
        <v>-880</v>
      </c>
      <c r="E126" s="143" t="str">
        <f>IF(R126&gt;0,IF(N126="m",RANK(F126,F$7:F$126,1)-COUNTBLANK(N$7:N$126),""),"")</f>
        <v/>
      </c>
      <c r="F126" s="144">
        <f>IF((N126="m"),U126,U126-1000)</f>
        <v>120</v>
      </c>
      <c r="G126" s="145" t="str">
        <f>IF(R126&gt;0,IF(M126="n",RANK(H126,H$7:H$126,1)-COUNTBLANK(M$7:M$126),""),"")</f>
        <v/>
      </c>
      <c r="H126" s="144">
        <f>IF((M126="n"),U126,U126-1000)</f>
        <v>-880</v>
      </c>
      <c r="I126" s="160" t="str">
        <f>IF(R126&gt;0,IF(O126="j",RANK(J126,J$7:J$126,1)-COUNTBLANK(O$7:O$126),""),"")</f>
        <v/>
      </c>
      <c r="J126" s="161">
        <f>IF((O126="j"),U126,U126-1000)</f>
        <v>-880</v>
      </c>
      <c r="K126" s="162" t="str">
        <f>IF(R126&gt;0,RANK(U126,U$7:U$126,1),"")</f>
        <v/>
      </c>
      <c r="L126" s="168" t="s">
        <v>319</v>
      </c>
      <c r="M126" s="164"/>
      <c r="N126" s="165" t="str">
        <f>IF(M126="","m","")</f>
        <v>m</v>
      </c>
      <c r="O126" s="166"/>
      <c r="P126" s="167"/>
      <c r="Q126" s="192" t="s">
        <v>200</v>
      </c>
      <c r="R126" s="154">
        <f>(IF(COUNT(Z126,AA126,AB126,AC126,AD126,AE126,AF126,AG126,AH126,AI126)&lt;10,SUM(Z126,AA126,AB126,AC126,AD126,AE126,AF126,AG126,AH126,AI126),SUM(LARGE((Z126,AA126,AB126,AC126,AD126,AE126,AF126,AG126,AH126,AI126),{1;2;3;4;5;6;7;8;9}))))</f>
        <v>0</v>
      </c>
      <c r="S126" s="193" t="str">
        <f>INDEX(ETAPP!B$1:B$32,MATCH(COUNTIF(BI126:BR126,1),ETAPP!A$1:A$32,0))&amp;INDEX(ETAPP!B$1:B$32,MATCH(COUNTIF(BI126:BR126,2),ETAPP!A$1:A$32,0))&amp;INDEX(ETAPP!B$1:B$32,MATCH(COUNTIF(BI126:BR126,3),ETAPP!A$1:A$32,0))&amp;INDEX(ETAPP!B$1:B$32,MATCH(COUNTIF(BI126:BR126,4),ETAPP!A$1:A$32,0))&amp;INDEX(ETAPP!B$1:B$32,MATCH(COUNTIF(BI126:BR126,5),ETAPP!A$1:A$32,0))&amp;INDEX(ETAPP!B$1:B$32,MATCH(COUNTIF(BI126:BR126,6),ETAPP!A$1:A$32,0))&amp;INDEX(ETAPP!B$1:B$32,MATCH(COUNTIF(BI126:BR126,7),ETAPP!A$1:A$32,0))&amp;INDEX(ETAPP!B$1:B$32,MATCH(COUNTIF(BI126:BR126,8),ETAPP!A$1:A$32,0))&amp;INDEX(ETAPP!B$1:B$32,MATCH(COUNTIF(BI126:BR126,9),ETAPP!A$1:A$32,0))&amp;INDEX(ETAPP!B$1:B$32,MATCH(COUNTIF(BI126:BR126,10),ETAPP!A$1:A$32,0))&amp;INDEX(ETAPP!B$1:B$32,MATCH(COUNTIF(BI126:BR126,11),ETAPP!A$1:A$32,0))&amp;INDEX(ETAPP!B$1:B$32,MATCH(COUNTIF(BI126:BR126,12),ETAPP!A$1:A$32,0))&amp;INDEX(ETAPP!B$1:B$32,MATCH(COUNTIF(BI126:BR126,13),ETAPP!A$1:A$32,0))&amp;INDEX(ETAPP!B$1:B$32,MATCH(COUNTIF(BI126:BR126,14),ETAPP!A$1:A$32,0))&amp;INDEX(ETAPP!B$1:B$32,MATCH(COUNTIF(BI126:BR126,15),ETAPP!A$1:A$32,0))&amp;INDEX(ETAPP!B$1:B$32,MATCH(COUNTIF(BI126:BR126,16),ETAPP!A$1:A$32,0))&amp;INDEX(ETAPP!B$1:B$32,MATCH(COUNTIF(BI126:BR126,17),ETAPP!A$1:A$32,0))&amp;INDEX(ETAPP!B$1:B$32,MATCH(COUNTIF(BI126:BR126,18),ETAPP!A$1:A$32,0))&amp;INDEX(ETAPP!B$1:B$32,MATCH(COUNTIF(BI126:BR126,19),ETAPP!A$1:A$32,0))&amp;INDEX(ETAPP!B$1:B$32,MATCH(COUNTIF(BI126:BR126,20),ETAPP!A$1:A$32,0))&amp;INDEX(ETAPP!B$1:B$32,MATCH(COUNTIF(BI126:BR126,21),ETAPP!A$1:A$32,0))</f>
        <v>000000000000000000000</v>
      </c>
      <c r="T126" s="193" t="str">
        <f>TEXT(R126,"000,0")&amp;"-"&amp;S126</f>
        <v>000,0-000000000000000000000</v>
      </c>
      <c r="U126" s="193">
        <f>COUNTIF(T$7:T$126,"&gt;="&amp;T126)</f>
        <v>120</v>
      </c>
      <c r="V126" s="193">
        <f>COUNTIF(L$7:L$126,"&gt;="&amp;L126)</f>
        <v>1</v>
      </c>
      <c r="W126" s="193" t="str">
        <f>TEXT(R126,"000,0")&amp;"-"&amp;S126&amp;"-"&amp;TEXT(V126,"000")</f>
        <v>000,0-000000000000000000000-001</v>
      </c>
      <c r="X126" s="193">
        <f>COUNTIF(W$7:W$126,"&gt;="&amp;W126)</f>
        <v>120</v>
      </c>
      <c r="Y126" s="201">
        <f>RANK(X126,X$7:X$126,0)</f>
        <v>1</v>
      </c>
      <c r="Z126" s="202" t="str">
        <f>IFERROR(INDEX('V1'!C$300:C$400,MATCH("*"&amp;L126&amp;"*",'V1'!B$300:B$400,0)),"  ")</f>
        <v>  </v>
      </c>
      <c r="AA126" s="202" t="str">
        <f>IFERROR(INDEX('V2'!C$300:C$400,MATCH("*"&amp;L126&amp;"*",'V2'!B$300:B$400,0)),"  ")</f>
        <v>  </v>
      </c>
      <c r="AB126" s="202" t="str">
        <f>IFERROR(INDEX('V3'!C$300:C$400,MATCH("*"&amp;L126&amp;"*",'V3'!B$300:B$400,0)),"  ")</f>
        <v>  </v>
      </c>
      <c r="AC126" s="202" t="str">
        <f>IFERROR(INDEX('V4'!C$300:C$400,MATCH("*"&amp;L126&amp;"*",'V4'!B$300:B$400,0)),"  ")</f>
        <v>  </v>
      </c>
      <c r="AD126" s="202" t="str">
        <f>IFERROR(INDEX('V5'!C$300:C$400,MATCH("*"&amp;L126&amp;"*",'V5'!B$300:B$400,0)),"  ")</f>
        <v>  </v>
      </c>
      <c r="AE126" s="202" t="str">
        <f>IFERROR(INDEX('V6'!C$300:C$400,MATCH("*"&amp;L126&amp;"*",'V6'!B$300:B$400,0)),"  ")</f>
        <v>  </v>
      </c>
      <c r="AF126" s="202" t="str">
        <f>IFERROR(INDEX('V7'!C$300:C$400,MATCH("*"&amp;L126&amp;"*",'V7'!B$300:B$400,0)),"  ")</f>
        <v>  </v>
      </c>
      <c r="AG126" s="202" t="str">
        <f>IFERROR(INDEX('V8'!C$300:C$400,MATCH("*"&amp;L126&amp;"*",'V8'!B$300:B$400,0)),"  ")</f>
        <v>  </v>
      </c>
      <c r="AH126" s="202"/>
      <c r="AI126" s="202"/>
      <c r="AJ126" s="222" t="str">
        <f>IF(AN126&gt;(AT$2-1),K126,"")</f>
        <v/>
      </c>
      <c r="AK126" s="223">
        <f>SUM(Z126:AI126)</f>
        <v>0</v>
      </c>
      <c r="AL126" s="224" t="str">
        <f>IFERROR("edasi "&amp;RANK(AJ126,AJ$7:AJ$126,1),K126)</f>
        <v/>
      </c>
      <c r="AM126" s="225" t="str">
        <f>IFERROR(INDEX(#REF!,MATCH("*"&amp;L126&amp;"*",#REF!,0)),"  ")</f>
        <v>  </v>
      </c>
      <c r="AN126" s="226">
        <f>COUNTIF(Z126:AI126,"&gt;=0")</f>
        <v>0</v>
      </c>
      <c r="AO126" s="126">
        <f>IFERROR(IF(Z126+1&gt;LARGE(Z$7:Z$126,1)-2*LEN(Z$5),1),0)+IFERROR(IF(AA126+1&gt;LARGE(AA$7:AA$126,1)-2*LEN(AA$5),1),0)+IFERROR(IF(AB126+1&gt;LARGE(AB$7:AB$126,1)-2*LEN(AB$5),1),0)+IFERROR(IF(AC126+1&gt;LARGE(AC$7:AC$126,1)-2*LEN(AC$5),1),0)+IFERROR(IF(AD126+1&gt;LARGE(AD$7:AD$126,1)-2*LEN(AD$5),1),0)+IFERROR(IF(AE126+1&gt;LARGE(AE$7:AE$126,1)-2*LEN(AE$5),1),0)+IFERROR(IF(AF126+1&gt;LARGE(AF$7:AF$126,1)-2*LEN(AF$5),1),0)+IFERROR(IF(AG126+1&gt;LARGE(AG$7:AG$126,1)-2*LEN(AG$5),1),0)+IFERROR(IF(AH126+1&gt;LARGE(AH$7:AH$126,1)-2*LEN(AH$5),1),0)+IFERROR(IF(AI126+1&gt;LARGE(AI$7:AI$126,1)-2*LEN(AI$5),1),0)</f>
        <v>0</v>
      </c>
      <c r="AP126" s="126">
        <f>IF(Z126=0,0,IF(Z126=IFERROR(LARGE(Z$7:Z$126,1),0),1,0))+IF(AA126=0,0,IF(AA126=IFERROR(LARGE(AA$7:AA$126,1),0),1,0))+IF(AB126=0,0,IF(AB126=IFERROR(LARGE(AB$7:AB$126,1),0),1,0))+IF(AC126=0,0,IF(AC126=IFERROR(LARGE(AC$7:AC$126,1),0),1,0))+IF(AD126=0,0,IF(AD126=IFERROR(LARGE(AD$7:AD$126,1),0),1,0))+IF(AE126=0,0,IF(AE126=IFERROR(LARGE(AE$7:AE$126,1),0),1,0))+IF(AF126=0,0,IF(AF126=IFERROR(LARGE(AF$7:AF$126,1),0),1,0))+IF(AG126=0,0,IF(AG126=IFERROR(LARGE(AG$7:AG$126,1),0),1,0))+IF(AH126=0,0,IF(AH126=IFERROR(LARGE(AH$7:AH$126,1),0),1,0))+IF(AI126=0,0,IF(AI126=IFERROR(LARGE(AI$7:AI$126,1),0),1,0))</f>
        <v>0</v>
      </c>
      <c r="AQ126" s="233"/>
      <c r="AR126" s="233"/>
      <c r="AS126" s="233"/>
      <c r="AT126" s="234">
        <f>SMALL(AU126:BD126,AT$3)</f>
        <v>0.0001</v>
      </c>
      <c r="AU126" s="235">
        <f t="shared" ref="AU126:BD126" si="7">IF(Z126="  ",0+MID(Z$6,FIND("V",Z$6)+1,256)/10000,Z126+MID(Z$6,FIND("V",Z$6)+1,256)/10000)</f>
        <v>0.0001</v>
      </c>
      <c r="AV126" s="235">
        <f t="shared" si="7"/>
        <v>0.0002</v>
      </c>
      <c r="AW126" s="235">
        <f t="shared" si="7"/>
        <v>0.0003</v>
      </c>
      <c r="AX126" s="235">
        <f t="shared" si="7"/>
        <v>0.0004</v>
      </c>
      <c r="AY126" s="235">
        <f t="shared" si="7"/>
        <v>0.0005</v>
      </c>
      <c r="AZ126" s="235">
        <f t="shared" si="7"/>
        <v>0.0006</v>
      </c>
      <c r="BA126" s="235">
        <f t="shared" si="7"/>
        <v>0.0007</v>
      </c>
      <c r="BB126" s="235">
        <f t="shared" si="7"/>
        <v>0.0008</v>
      </c>
      <c r="BC126" s="235">
        <f t="shared" si="7"/>
        <v>0.0009</v>
      </c>
      <c r="BD126" s="235">
        <f t="shared" si="7"/>
        <v>0.001</v>
      </c>
      <c r="BE126" s="233"/>
      <c r="BF126" s="233"/>
      <c r="BG126" s="233"/>
      <c r="BH126" s="233"/>
      <c r="BI126" s="3" t="e">
        <f t="shared" ref="BI126:BR126" si="8">(LARGE(Z$7:Z$126,1)-Z126)/2+1</f>
        <v>#VALUE!</v>
      </c>
      <c r="BJ126" s="3" t="e">
        <f t="shared" si="8"/>
        <v>#VALUE!</v>
      </c>
      <c r="BK126" s="3" t="e">
        <f t="shared" si="8"/>
        <v>#VALUE!</v>
      </c>
      <c r="BL126" s="3" t="e">
        <f t="shared" si="8"/>
        <v>#VALUE!</v>
      </c>
      <c r="BM126" s="3" t="e">
        <f t="shared" si="8"/>
        <v>#VALUE!</v>
      </c>
      <c r="BN126" s="3" t="e">
        <f t="shared" si="8"/>
        <v>#VALUE!</v>
      </c>
      <c r="BO126" s="3" t="e">
        <f t="shared" si="8"/>
        <v>#VALUE!</v>
      </c>
      <c r="BP126" s="3" t="e">
        <f t="shared" si="8"/>
        <v>#VALUE!</v>
      </c>
      <c r="BQ126" s="3" t="e">
        <f t="shared" si="8"/>
        <v>#NUM!</v>
      </c>
      <c r="BR126" s="3" t="e">
        <f t="shared" si="8"/>
        <v>#NUM!</v>
      </c>
    </row>
    <row r="127" spans="1:56">
      <c r="A127" s="236">
        <f>COUNTIF(A7:A126,"&gt;0")</f>
        <v>34</v>
      </c>
      <c r="B127" s="237"/>
      <c r="C127" s="238">
        <f>COUNTIF(C7:C117,"&gt;0")</f>
        <v>25</v>
      </c>
      <c r="D127" s="237"/>
      <c r="E127" s="239">
        <f>COUNTIF(E7:E117,"&gt;0")</f>
        <v>38</v>
      </c>
      <c r="F127" s="237"/>
      <c r="G127" s="240">
        <f>COUNTIF(G7:G126,"&gt;0")</f>
        <v>13</v>
      </c>
      <c r="H127" s="237"/>
      <c r="I127" s="243">
        <f>COUNTIF(I7:I126,"&gt;0")</f>
        <v>0</v>
      </c>
      <c r="J127" s="237"/>
      <c r="K127" s="237">
        <f>COUNT(K7:K126)</f>
        <v>52</v>
      </c>
      <c r="L127" s="244" t="s">
        <v>320</v>
      </c>
      <c r="M127" s="245">
        <f>COUNTIF(M7:M126,"n")</f>
        <v>36</v>
      </c>
      <c r="N127" s="246">
        <f>COUNTIF(N7:N126,"m")</f>
        <v>79</v>
      </c>
      <c r="O127" s="247">
        <f>COUNTIF(O7:O126,"j")</f>
        <v>13</v>
      </c>
      <c r="P127" s="248">
        <f>COUNTIF(P7:P126,"t")</f>
        <v>40</v>
      </c>
      <c r="Q127" s="250">
        <f>COUNTIF(Q7:Q126,"Viru SK")</f>
        <v>55</v>
      </c>
      <c r="R127" s="249"/>
      <c r="S127" s="249"/>
      <c r="T127" s="249"/>
      <c r="U127" s="249"/>
      <c r="V127" s="249"/>
      <c r="W127" s="249"/>
      <c r="X127" s="249"/>
      <c r="Y127" s="249"/>
      <c r="Z127" s="252">
        <f t="shared" ref="Z127:AI127" si="9">COUNTIF(Z7:Z126,"&gt;0")</f>
        <v>18</v>
      </c>
      <c r="AA127" s="124">
        <f t="shared" si="9"/>
        <v>28</v>
      </c>
      <c r="AB127" s="124">
        <f t="shared" si="9"/>
        <v>26</v>
      </c>
      <c r="AC127" s="124">
        <f t="shared" si="9"/>
        <v>26</v>
      </c>
      <c r="AD127" s="124">
        <f t="shared" si="9"/>
        <v>41</v>
      </c>
      <c r="AE127" s="124">
        <f>COUNTIF(AE7:AE126,"&gt;0")</f>
        <v>28</v>
      </c>
      <c r="AF127" s="124">
        <f t="shared" si="9"/>
        <v>28</v>
      </c>
      <c r="AG127" s="124">
        <f t="shared" si="9"/>
        <v>26</v>
      </c>
      <c r="AH127" s="124">
        <f t="shared" si="9"/>
        <v>0</v>
      </c>
      <c r="AI127" s="124">
        <f t="shared" si="9"/>
        <v>0</v>
      </c>
      <c r="AJ127" s="124"/>
      <c r="AK127" s="124"/>
      <c r="AL127" s="124"/>
      <c r="AM127" s="253">
        <f>COUNTIF(AM7:AM126,"&gt;0")</f>
        <v>0</v>
      </c>
      <c r="AN127" s="122"/>
      <c r="AO127" s="122"/>
      <c r="AP127" s="122"/>
      <c r="AQ127" s="121"/>
      <c r="AT127" s="121"/>
      <c r="AU127" s="121"/>
      <c r="AV127" s="121"/>
      <c r="AW127" s="121"/>
      <c r="AX127" s="121"/>
      <c r="AY127" s="121"/>
      <c r="AZ127" s="121"/>
      <c r="BA127" s="121"/>
      <c r="BB127" s="121"/>
      <c r="BC127" s="121"/>
      <c r="BD127" s="121"/>
    </row>
    <row r="128" spans="1:56">
      <c r="A128" s="124"/>
      <c r="B128" s="124"/>
      <c r="C128" s="124"/>
      <c r="D128" s="124"/>
      <c r="E128" s="124"/>
      <c r="F128" s="124"/>
      <c r="G128" s="124"/>
      <c r="H128" s="124"/>
      <c r="I128" s="124"/>
      <c r="J128" s="124"/>
      <c r="K128" s="124"/>
      <c r="L128" s="244" t="s">
        <v>321</v>
      </c>
      <c r="M128" s="249"/>
      <c r="N128" s="249"/>
      <c r="O128" s="249"/>
      <c r="P128" s="249"/>
      <c r="Q128" s="249"/>
      <c r="R128" s="249"/>
      <c r="S128" s="249"/>
      <c r="T128" s="249"/>
      <c r="U128" s="249"/>
      <c r="V128" s="249"/>
      <c r="W128" s="249"/>
      <c r="X128" s="249"/>
      <c r="Y128" s="249"/>
      <c r="Z128" s="252">
        <f t="shared" ref="Z128:AI128" si="10">IF((Z127/(LEN(Z5)-LEN(SUBSTITUTE(Z5,"*","")))-0.5)&lt;0,"",Z127/(LEN(Z5)-LEN(SUBSTITUTE(Z5,"*","")))-0.5)</f>
        <v>8.5</v>
      </c>
      <c r="AA128" s="124">
        <f t="shared" si="10"/>
        <v>13.5</v>
      </c>
      <c r="AB128" s="124">
        <f t="shared" si="10"/>
        <v>12.5</v>
      </c>
      <c r="AC128" s="124">
        <f t="shared" si="10"/>
        <v>12.5</v>
      </c>
      <c r="AD128" s="124">
        <f t="shared" si="10"/>
        <v>20</v>
      </c>
      <c r="AE128" s="124">
        <f t="shared" si="10"/>
        <v>13.5</v>
      </c>
      <c r="AF128" s="124">
        <f t="shared" si="10"/>
        <v>13.5</v>
      </c>
      <c r="AG128" s="124">
        <f t="shared" si="10"/>
        <v>12.5</v>
      </c>
      <c r="AH128" s="124" t="str">
        <f t="shared" si="10"/>
        <v/>
      </c>
      <c r="AI128" s="124" t="str">
        <f t="shared" si="10"/>
        <v/>
      </c>
      <c r="AJ128" s="124"/>
      <c r="AK128" s="124"/>
      <c r="AL128" s="124"/>
      <c r="AM128" s="254" t="str">
        <f>IF((AM127/(LEN(AM5)-LEN(SUBSTITUTE(AM5,"*","")))-0.5)&lt;0,"",AM127/(LEN(AM5)-LEN(SUBSTITUTE(AM5,"*","")))-0.5)</f>
        <v/>
      </c>
      <c r="AN128" s="122"/>
      <c r="AO128" s="122"/>
      <c r="AP128" s="122"/>
      <c r="AQ128" s="121"/>
      <c r="AT128" s="121"/>
      <c r="AU128" s="121"/>
      <c r="AV128" s="121"/>
      <c r="AW128" s="121"/>
      <c r="AX128" s="121"/>
      <c r="AY128" s="121"/>
      <c r="AZ128" s="121"/>
      <c r="BA128" s="121"/>
      <c r="BB128" s="121"/>
      <c r="BC128" s="121"/>
      <c r="BD128" s="121"/>
    </row>
    <row r="129" spans="1:56">
      <c r="A129" s="121"/>
      <c r="B129" s="121"/>
      <c r="C129" s="126"/>
      <c r="D129" s="126"/>
      <c r="E129" s="126"/>
      <c r="F129" s="126"/>
      <c r="G129" s="126"/>
      <c r="H129" s="126"/>
      <c r="I129" s="126"/>
      <c r="J129" s="126"/>
      <c r="K129" s="126"/>
      <c r="M129" s="126"/>
      <c r="N129" s="126"/>
      <c r="O129" s="126"/>
      <c r="P129" s="255"/>
      <c r="Q129" s="255"/>
      <c r="R129" s="126"/>
      <c r="S129" s="126"/>
      <c r="T129" s="126"/>
      <c r="U129" s="126"/>
      <c r="V129" s="126"/>
      <c r="W129" s="126"/>
      <c r="X129" s="126"/>
      <c r="Y129" s="126"/>
      <c r="Z129" s="126"/>
      <c r="AA129" s="126"/>
      <c r="AB129" s="126"/>
      <c r="AC129" s="126"/>
      <c r="AD129" s="126"/>
      <c r="AE129" s="126"/>
      <c r="AF129" s="126"/>
      <c r="AG129" s="126"/>
      <c r="AH129" s="126"/>
      <c r="AI129" s="126"/>
      <c r="AJ129" s="126"/>
      <c r="AK129" s="126"/>
      <c r="AL129" s="126"/>
      <c r="AM129" s="126"/>
      <c r="AN129" s="121"/>
      <c r="AO129" s="121"/>
      <c r="AP129" s="121"/>
      <c r="AQ129" s="121"/>
      <c r="AT129" s="121"/>
      <c r="AU129" s="121"/>
      <c r="AV129" s="121"/>
      <c r="AW129" s="121"/>
      <c r="AX129" s="121"/>
      <c r="AY129" s="121"/>
      <c r="AZ129" s="121"/>
      <c r="BA129" s="121"/>
      <c r="BB129" s="121"/>
      <c r="BC129" s="121"/>
      <c r="BD129" s="121"/>
    </row>
    <row r="130" spans="1:56">
      <c r="A130" s="121"/>
      <c r="B130" s="121"/>
      <c r="C130" s="126"/>
      <c r="D130" s="126"/>
      <c r="E130" s="126"/>
      <c r="F130" s="126"/>
      <c r="G130" s="126"/>
      <c r="H130" s="126"/>
      <c r="I130" s="126"/>
      <c r="J130" s="126"/>
      <c r="K130" s="126"/>
      <c r="M130" s="126"/>
      <c r="N130" s="126"/>
      <c r="O130" s="126"/>
      <c r="P130" s="255"/>
      <c r="Q130" s="255"/>
      <c r="S130" s="126"/>
      <c r="T130" s="126"/>
      <c r="U130" s="126"/>
      <c r="V130" s="126"/>
      <c r="W130" s="126"/>
      <c r="X130" s="126"/>
      <c r="Y130" s="126"/>
      <c r="Z130" s="126"/>
      <c r="AA130" s="126"/>
      <c r="AB130" s="126"/>
      <c r="AC130" s="126"/>
      <c r="AD130" s="126"/>
      <c r="AE130" s="126"/>
      <c r="AF130" s="126"/>
      <c r="AG130" s="126"/>
      <c r="AH130" s="126"/>
      <c r="AI130" s="126"/>
      <c r="AJ130" s="126"/>
      <c r="AK130" s="126"/>
      <c r="AL130" s="126"/>
      <c r="AM130" s="126"/>
      <c r="AN130" s="121"/>
      <c r="AO130" s="121"/>
      <c r="AP130" s="121"/>
      <c r="AQ130" s="121"/>
      <c r="AT130" s="121"/>
      <c r="AU130" s="121"/>
      <c r="AV130" s="121"/>
      <c r="AW130" s="121"/>
      <c r="AX130" s="121"/>
      <c r="AY130" s="121"/>
      <c r="AZ130" s="121"/>
      <c r="BA130" s="121"/>
      <c r="BB130" s="121"/>
      <c r="BC130" s="121"/>
      <c r="BD130" s="121"/>
    </row>
    <row r="131" spans="1:56">
      <c r="A131" s="121"/>
      <c r="B131" s="121"/>
      <c r="C131" s="126"/>
      <c r="D131" s="126"/>
      <c r="E131" s="126"/>
      <c r="F131" s="126"/>
      <c r="G131" s="126"/>
      <c r="H131" s="126"/>
      <c r="I131" s="126"/>
      <c r="J131" s="126"/>
      <c r="K131" s="126"/>
      <c r="L131" s="121"/>
      <c r="M131" s="255"/>
      <c r="N131" s="255"/>
      <c r="O131" s="255"/>
      <c r="P131" s="255"/>
      <c r="Q131" s="255"/>
      <c r="R131" s="255"/>
      <c r="S131" s="255"/>
      <c r="T131" s="255"/>
      <c r="U131" s="255"/>
      <c r="V131" s="255"/>
      <c r="W131" s="255"/>
      <c r="X131" s="255"/>
      <c r="Y131" s="255"/>
      <c r="Z131" s="126"/>
      <c r="AA131" s="126"/>
      <c r="AB131" s="126"/>
      <c r="AC131" s="126"/>
      <c r="AD131" s="126"/>
      <c r="AE131" s="126"/>
      <c r="AF131" s="126"/>
      <c r="AG131" s="126"/>
      <c r="AH131" s="126"/>
      <c r="AI131" s="126"/>
      <c r="AJ131" s="126"/>
      <c r="AK131" s="126"/>
      <c r="AL131" s="126"/>
      <c r="AM131" s="126"/>
      <c r="AN131" s="121"/>
      <c r="AO131" s="121"/>
      <c r="AP131" s="121"/>
      <c r="AQ131" s="121"/>
      <c r="AT131" s="121"/>
      <c r="AU131" s="121"/>
      <c r="AV131" s="121"/>
      <c r="AW131" s="121"/>
      <c r="AX131" s="121"/>
      <c r="AY131" s="121"/>
      <c r="AZ131" s="121"/>
      <c r="BA131" s="121"/>
      <c r="BB131" s="121"/>
      <c r="BC131" s="121"/>
      <c r="BD131" s="121"/>
    </row>
  </sheetData>
  <sortState ref="A7:BS126">
    <sortCondition ref="Y7:Y126" descending="1"/>
  </sortState>
  <mergeCells count="3">
    <mergeCell ref="AN4:AN6"/>
    <mergeCell ref="AO4:AO6"/>
    <mergeCell ref="AP4:AP6"/>
  </mergeCells>
  <conditionalFormatting sqref="Z127:AI127">
    <cfRule type="top10" dxfId="1" priority="10" stopIfTrue="1" rank="1"/>
  </conditionalFormatting>
  <conditionalFormatting sqref="Z128:AI128">
    <cfRule type="top10" dxfId="1" priority="11" rank="1"/>
  </conditionalFormatting>
  <conditionalFormatting sqref="K7:K126">
    <cfRule type="duplicateValues" dxfId="2" priority="12"/>
  </conditionalFormatting>
  <conditionalFormatting sqref="L7:L126">
    <cfRule type="expression" dxfId="3" priority="106">
      <formula>AND(K7=SMALL(K$7:K$126,3),COUNT($AI$7:$AI$126)&gt;0)</formula>
    </cfRule>
    <cfRule type="expression" dxfId="4" priority="107">
      <formula>AND(K7=SMALL(K$7:K$126,2),COUNT($AI$7:$AI$126)&gt;0)</formula>
    </cfRule>
    <cfRule type="expression" dxfId="5" priority="108">
      <formula>AND(K7=SMALL(K$7:K$126,1),COUNT($AI$7:$AI$126)&gt;0)</formula>
    </cfRule>
    <cfRule type="expression" dxfId="6" priority="109">
      <formula>M7="n"</formula>
    </cfRule>
    <cfRule type="expression" dxfId="7" priority="110">
      <formula>O7="j"</formula>
    </cfRule>
    <cfRule type="duplicateValues" dxfId="8" priority="111" stopIfTrue="1"/>
  </conditionalFormatting>
  <conditionalFormatting sqref="R7:R126">
    <cfRule type="duplicateValues" dxfId="2" priority="78"/>
  </conditionalFormatting>
  <conditionalFormatting sqref="Z7:Z126">
    <cfRule type="top10" dxfId="9" priority="166" rank="1"/>
    <cfRule type="top10" dxfId="10" priority="167" rank="4"/>
    <cfRule type="top10" dxfId="11" priority="168" rank="6"/>
  </conditionalFormatting>
  <conditionalFormatting sqref="AA7:AA126">
    <cfRule type="top10" dxfId="9" priority="100" rank="1"/>
    <cfRule type="top10" dxfId="10" priority="101" rank="3"/>
    <cfRule type="top10" dxfId="11" priority="102" rank="5"/>
  </conditionalFormatting>
  <conditionalFormatting sqref="AB7:AB126">
    <cfRule type="top10" dxfId="9" priority="88" rank="1"/>
    <cfRule type="top10" dxfId="10" priority="89" rank="3"/>
    <cfRule type="top10" dxfId="12" priority="90" rank="5"/>
  </conditionalFormatting>
  <conditionalFormatting sqref="AC7:AC126">
    <cfRule type="top10" dxfId="9" priority="94" rank="1"/>
    <cfRule type="top10" dxfId="10" priority="95" rank="3"/>
    <cfRule type="top10" dxfId="12" priority="96" rank="5"/>
  </conditionalFormatting>
  <conditionalFormatting sqref="AD7:AD126">
    <cfRule type="top10" dxfId="13" priority="154" rank="1"/>
    <cfRule type="top10" dxfId="10" priority="155" rank="3"/>
    <cfRule type="top10" dxfId="12" priority="156" rank="5"/>
  </conditionalFormatting>
  <conditionalFormatting sqref="AE7:AE126">
    <cfRule type="top10" dxfId="13" priority="160" rank="1"/>
    <cfRule type="top10" dxfId="10" priority="161" rank="3"/>
    <cfRule type="top10" dxfId="12" priority="162" rank="5"/>
  </conditionalFormatting>
  <conditionalFormatting sqref="AF7:AF126">
    <cfRule type="top10" dxfId="13" priority="172" rank="1"/>
    <cfRule type="top10" dxfId="10" priority="173" rank="3"/>
    <cfRule type="top10" dxfId="11" priority="174" rank="5"/>
  </conditionalFormatting>
  <conditionalFormatting sqref="AG7:AG126">
    <cfRule type="top10" dxfId="13" priority="178" rank="1"/>
    <cfRule type="top10" dxfId="10" priority="179" rank="3"/>
    <cfRule type="top10" dxfId="11" priority="180" rank="5"/>
  </conditionalFormatting>
  <conditionalFormatting sqref="AH7:AH126">
    <cfRule type="top10" dxfId="13" priority="184" rank="1"/>
    <cfRule type="top10" dxfId="10" priority="185" rank="3"/>
    <cfRule type="top10" dxfId="12" priority="186" rank="5"/>
  </conditionalFormatting>
  <conditionalFormatting sqref="AI7:AI126">
    <cfRule type="top10" dxfId="13" priority="190" rank="1"/>
    <cfRule type="top10" dxfId="10" priority="191" rank="3"/>
    <cfRule type="top10" dxfId="11" priority="192" rank="5"/>
  </conditionalFormatting>
  <conditionalFormatting sqref="AL7:AL126">
    <cfRule type="expression" dxfId="14" priority="82">
      <formula>0=COUNT(#REF!)</formula>
    </cfRule>
    <cfRule type="duplicateValues" dxfId="2" priority="83"/>
    <cfRule type="notContainsText" dxfId="15" priority="84" operator="notContains" text="edasi">
      <formula>ISERROR(SEARCH("edasi",AL7))</formula>
    </cfRule>
  </conditionalFormatting>
  <conditionalFormatting sqref="AM7:AM126">
    <cfRule type="expression" dxfId="3" priority="1">
      <formula>AM7=3</formula>
    </cfRule>
    <cfRule type="expression" dxfId="4" priority="2">
      <formula>AM7=2</formula>
    </cfRule>
    <cfRule type="expression" dxfId="5" priority="3">
      <formula>AM7=1</formula>
    </cfRule>
  </conditionalFormatting>
  <conditionalFormatting sqref="AN7:AN126">
    <cfRule type="top10" dxfId="1" priority="80" stopIfTrue="1" rank="1"/>
  </conditionalFormatting>
  <conditionalFormatting sqref="AO7:AO126">
    <cfRule type="top10" dxfId="1" priority="74" stopIfTrue="1" rank="1"/>
  </conditionalFormatting>
  <conditionalFormatting sqref="AP7:AP126">
    <cfRule type="top10" dxfId="1" priority="76" stopIfTrue="1" rank="1"/>
  </conditionalFormatting>
  <conditionalFormatting sqref="A7:A126;C7:C126;G7:G126;I7:I126">
    <cfRule type="expression" dxfId="5" priority="118">
      <formula>AND(A7=SMALL(A$7:A$126,1),COUNT($AI$7:$AI$126)&gt;0)</formula>
    </cfRule>
  </conditionalFormatting>
  <conditionalFormatting sqref="Z7:AI126">
    <cfRule type="expression" dxfId="14" priority="142">
      <formula>IF(COUNT(Z$7:Z$126)=0,TRUE)</formula>
    </cfRule>
    <cfRule type="expression" dxfId="16" priority="143">
      <formula>MID(Z$6,FIND("V",Z$6)+1,256)/10000+IF(Z7="  ",FALSE,Z7)&lt;=$AT7</formula>
    </cfRule>
  </conditionalFormatting>
  <pageMargins left="0.393700787401575" right="0.275590551181102" top="0.590551181102362" bottom="0.393700787401575" header="0.393700787401575" footer="0"/>
  <pageSetup paperSize="9" scale="99" fitToHeight="0" orientation="portrait" verticalDpi="1200"/>
  <headerFooter>
    <oddHeader>&amp;R&amp;9&amp;P. leht &amp;N&amp; -st</oddHead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CCECFF"/>
    <pageSetUpPr fitToPage="1"/>
  </sheetPr>
  <dimension ref="A1:AP313"/>
  <sheetViews>
    <sheetView showGridLines="0" showRowColHeaders="0" workbookViewId="0">
      <pane ySplit="1" topLeftCell="A2" activePane="bottomLeft" state="frozen"/>
      <selection/>
      <selection pane="bottomLeft" activeCell="A5" sqref="A5"/>
    </sheetView>
  </sheetViews>
  <sheetFormatPr defaultColWidth="9" defaultRowHeight="12.3"/>
  <cols>
    <col min="1" max="1" width="3.28828828828829" style="3" customWidth="1"/>
    <col min="2" max="2" width="29.8198198198198" style="3" customWidth="1"/>
    <col min="3" max="3" width="4.71171171171171" style="3" customWidth="1"/>
    <col min="4" max="4" width="1.14414414414414" style="3" customWidth="1"/>
    <col min="5" max="5" width="2.71171171171171" style="3" customWidth="1"/>
    <col min="6" max="6" width="9.14414414414414" style="3"/>
    <col min="7" max="7" width="2.71171171171171" style="3" customWidth="1"/>
    <col min="8" max="8" width="1.14414414414414" style="3" customWidth="1"/>
    <col min="9" max="9" width="2.71171171171171" style="3" customWidth="1"/>
    <col min="10" max="10" width="9.14414414414414" style="3"/>
    <col min="11" max="11" width="2.71171171171171" style="3" customWidth="1"/>
    <col min="12" max="12" width="1.14414414414414" style="3" customWidth="1"/>
    <col min="13" max="13" width="2.71171171171171" style="3" customWidth="1"/>
    <col min="14" max="14" width="9.14414414414414" style="3"/>
    <col min="15" max="15" width="2.71171171171171" style="3" customWidth="1"/>
    <col min="16" max="16" width="1.14414414414414" style="3" customWidth="1"/>
    <col min="17" max="17" width="2.71171171171171" style="3" customWidth="1"/>
    <col min="18" max="18" width="9.14414414414414" style="3"/>
    <col min="19" max="19" width="2.71171171171171" style="3" customWidth="1"/>
    <col min="20" max="20" width="1.14414414414414" style="3" customWidth="1"/>
    <col min="21" max="21" width="2.71171171171171" style="3" customWidth="1"/>
    <col min="22" max="22" width="9" style="3" customWidth="1"/>
    <col min="23" max="23" width="5.71171171171171" style="3" customWidth="1"/>
    <col min="24" max="24" width="5.56756756756757" style="3" customWidth="1"/>
    <col min="25" max="25" width="7.42342342342342" style="3" hidden="1" customWidth="1"/>
    <col min="26" max="26" width="2.71171171171171" style="3" customWidth="1"/>
    <col min="27" max="27" width="1.14414414414414" style="3" customWidth="1"/>
    <col min="28" max="28" width="2.71171171171171" style="3" customWidth="1"/>
    <col min="29" max="29" width="4.71171171171171" style="3" customWidth="1"/>
    <col min="30" max="31" width="9.14414414414414" style="3" hidden="1" customWidth="1"/>
    <col min="32" max="32" width="17" style="3" hidden="1" customWidth="1"/>
    <col min="33" max="33" width="9.14414414414414" style="3" hidden="1" customWidth="1"/>
    <col min="34" max="34" width="25.1441441441441" style="3" hidden="1" customWidth="1"/>
    <col min="35" max="35" width="9.14414414414414" style="3" hidden="1" customWidth="1"/>
    <col min="36" max="36" width="17.2882882882883" style="3" hidden="1" customWidth="1"/>
    <col min="37" max="37" width="9.14414414414414" style="3" hidden="1" customWidth="1"/>
    <col min="38" max="38" width="13.8558558558559" style="3" hidden="1" customWidth="1"/>
    <col min="39" max="39" width="9.14414414414414" style="3" hidden="1" customWidth="1"/>
    <col min="40" max="40" width="17.2882882882883" style="3" hidden="1" customWidth="1"/>
    <col min="41" max="41" width="9.14414414414414" style="3" hidden="1" customWidth="1"/>
    <col min="42" max="42" width="13.8558558558559" style="3" hidden="1" customWidth="1"/>
    <col min="43" max="16384" width="9.14414414414414" style="3"/>
  </cols>
  <sheetData>
    <row r="1" spans="1:42">
      <c r="A1" s="4" t="str">
        <f>UPPER((Kalend!E6)&amp;" - "&amp;(Kalend!C6))&amp;" - "&amp;LOWER(Kalend!D6)&amp;" - "&amp;(Kalend!A6)&amp;" kell "&amp;(Kalend!B6)&amp;" - "&amp;(Kalend!F6)</f>
        <v>TMV-D - TOILA VALLA LAHTISED MV - duo - P, 05.05.2024 kell 11:00 - Voka staadion</v>
      </c>
      <c r="O1" s="6"/>
      <c r="P1" s="6"/>
      <c r="Q1" s="20"/>
      <c r="R1" s="20"/>
      <c r="S1" s="20"/>
      <c r="T1" s="21"/>
      <c r="U1" s="21"/>
      <c r="V1" s="21"/>
      <c r="W1" s="6"/>
      <c r="X1" s="22"/>
      <c r="Y1" s="6"/>
      <c r="Z1" s="6"/>
      <c r="AD1" s="30" t="s">
        <v>149</v>
      </c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47"/>
      <c r="AP1" s="47"/>
    </row>
    <row r="2" spans="1:40">
      <c r="A2" s="5"/>
      <c r="F2" s="6"/>
      <c r="L2" s="19"/>
      <c r="M2" s="19"/>
      <c r="N2" s="19"/>
      <c r="O2" s="6"/>
      <c r="P2" s="6"/>
      <c r="Q2" s="6"/>
      <c r="R2" s="23" t="s">
        <v>322</v>
      </c>
      <c r="S2" s="6"/>
      <c r="T2" s="19"/>
      <c r="U2" s="19"/>
      <c r="V2" s="19"/>
      <c r="W2" s="24">
        <v>1</v>
      </c>
      <c r="X2" s="6" t="s">
        <v>323</v>
      </c>
      <c r="Y2" s="6"/>
      <c r="Z2" s="6"/>
      <c r="AA2" s="6"/>
      <c r="AB2" s="6"/>
      <c r="AE2" s="6"/>
      <c r="AG2" s="6"/>
      <c r="AH2" s="6"/>
      <c r="AI2" s="6"/>
      <c r="AJ2" s="6"/>
      <c r="AK2" s="6"/>
      <c r="AL2" s="6"/>
      <c r="AM2" s="6"/>
      <c r="AN2" s="6"/>
    </row>
    <row r="3" spans="1:42">
      <c r="A3" s="5"/>
      <c r="F3" s="6"/>
      <c r="L3" s="6"/>
      <c r="M3" s="6"/>
      <c r="N3" s="6"/>
      <c r="O3" s="6"/>
      <c r="P3" s="6"/>
      <c r="Q3" s="6"/>
      <c r="R3" s="25" t="s">
        <v>324</v>
      </c>
      <c r="S3" s="6"/>
      <c r="T3" s="6"/>
      <c r="U3" s="6"/>
      <c r="V3" s="6"/>
      <c r="W3" s="24">
        <v>0.5</v>
      </c>
      <c r="X3" s="6" t="s">
        <v>325</v>
      </c>
      <c r="Y3" s="6"/>
      <c r="Z3" s="6"/>
      <c r="AA3" s="6"/>
      <c r="AB3" s="6"/>
      <c r="AE3" s="19"/>
      <c r="AF3" s="19"/>
      <c r="AG3" s="19"/>
      <c r="AH3" s="44"/>
      <c r="AI3" s="19"/>
      <c r="AJ3" s="19"/>
      <c r="AK3" s="19"/>
      <c r="AL3" s="19"/>
      <c r="AM3" s="19"/>
      <c r="AN3" s="19"/>
      <c r="AO3" s="19"/>
      <c r="AP3" s="19"/>
    </row>
    <row r="4" spans="6:28">
      <c r="F4" s="6"/>
      <c r="L4" s="6"/>
      <c r="M4" s="6"/>
      <c r="N4" s="6"/>
      <c r="O4" s="6"/>
      <c r="P4" s="6"/>
      <c r="Q4" s="6"/>
      <c r="R4" s="26" t="s">
        <v>326</v>
      </c>
      <c r="S4" s="6"/>
      <c r="T4" s="6"/>
      <c r="U4" s="6"/>
      <c r="V4" s="6"/>
      <c r="W4" s="24">
        <v>0</v>
      </c>
      <c r="X4" s="6" t="s">
        <v>325</v>
      </c>
      <c r="Y4" s="6"/>
      <c r="Z4" s="6"/>
      <c r="AA4" s="6"/>
      <c r="AB4" s="6"/>
    </row>
    <row r="5" spans="1:30">
      <c r="A5" s="119"/>
      <c r="F5" s="6"/>
      <c r="L5" s="6"/>
      <c r="M5" s="6"/>
      <c r="N5" s="6"/>
      <c r="O5" s="6"/>
      <c r="P5" s="6"/>
      <c r="Q5" s="6"/>
      <c r="R5" s="6"/>
      <c r="S5" s="6"/>
      <c r="T5" s="6"/>
      <c r="U5" s="6"/>
      <c r="W5" s="6"/>
      <c r="X5" s="6"/>
      <c r="Y5" s="6"/>
      <c r="Z5" s="6"/>
      <c r="AA5" s="6"/>
      <c r="AB5" s="32" t="s">
        <v>327</v>
      </c>
      <c r="AD5" s="33" t="s">
        <v>328</v>
      </c>
    </row>
    <row r="6" spans="1:42">
      <c r="A6" s="7" t="s">
        <v>329</v>
      </c>
      <c r="B6" s="7" t="s">
        <v>180</v>
      </c>
      <c r="C6" s="8" t="s">
        <v>330</v>
      </c>
      <c r="D6" s="9"/>
      <c r="E6" s="9"/>
      <c r="F6" s="10"/>
      <c r="G6" s="8" t="s">
        <v>331</v>
      </c>
      <c r="H6" s="9"/>
      <c r="I6" s="9"/>
      <c r="J6" s="10"/>
      <c r="K6" s="8" t="s">
        <v>332</v>
      </c>
      <c r="L6" s="9"/>
      <c r="M6" s="9"/>
      <c r="N6" s="10"/>
      <c r="O6" s="8" t="s">
        <v>333</v>
      </c>
      <c r="P6" s="9"/>
      <c r="Q6" s="9"/>
      <c r="R6" s="10"/>
      <c r="S6" s="8" t="s">
        <v>334</v>
      </c>
      <c r="T6" s="9"/>
      <c r="U6" s="9"/>
      <c r="V6" s="10"/>
      <c r="W6" s="7" t="s">
        <v>162</v>
      </c>
      <c r="X6" s="27" t="s">
        <v>335</v>
      </c>
      <c r="Y6" s="7" t="s">
        <v>336</v>
      </c>
      <c r="Z6" s="27"/>
      <c r="AA6" s="34" t="s">
        <v>337</v>
      </c>
      <c r="AB6" s="35"/>
      <c r="AC6" s="36" t="s">
        <v>338</v>
      </c>
      <c r="AD6" s="37" t="s">
        <v>168</v>
      </c>
      <c r="AE6" s="38"/>
      <c r="AF6" s="38" t="s">
        <v>339</v>
      </c>
      <c r="AG6" s="38"/>
      <c r="AH6" s="45" t="s">
        <v>340</v>
      </c>
      <c r="AI6" s="38"/>
      <c r="AJ6" s="38" t="s">
        <v>341</v>
      </c>
      <c r="AK6" s="46"/>
      <c r="AL6" s="38" t="s">
        <v>342</v>
      </c>
      <c r="AM6" s="46"/>
      <c r="AN6" s="46" t="s">
        <v>343</v>
      </c>
      <c r="AO6" s="48"/>
      <c r="AP6" s="46" t="s">
        <v>344</v>
      </c>
    </row>
    <row r="7" spans="1:42">
      <c r="A7" s="11">
        <v>1</v>
      </c>
      <c r="B7" s="12" t="s">
        <v>345</v>
      </c>
      <c r="C7" s="13">
        <v>13</v>
      </c>
      <c r="D7" s="14" t="s">
        <v>346</v>
      </c>
      <c r="E7" s="14">
        <v>2</v>
      </c>
      <c r="F7" s="15" t="s">
        <v>347</v>
      </c>
      <c r="G7" s="13">
        <v>13</v>
      </c>
      <c r="H7" s="14" t="s">
        <v>346</v>
      </c>
      <c r="I7" s="14">
        <v>5</v>
      </c>
      <c r="J7" s="15" t="s">
        <v>348</v>
      </c>
      <c r="K7" s="13">
        <v>13</v>
      </c>
      <c r="L7" s="14" t="s">
        <v>346</v>
      </c>
      <c r="M7" s="14">
        <v>2</v>
      </c>
      <c r="N7" s="15" t="s">
        <v>349</v>
      </c>
      <c r="O7" s="13">
        <v>13</v>
      </c>
      <c r="P7" s="14" t="s">
        <v>346</v>
      </c>
      <c r="Q7" s="14">
        <v>5</v>
      </c>
      <c r="R7" s="15" t="s">
        <v>350</v>
      </c>
      <c r="S7" s="13">
        <v>13</v>
      </c>
      <c r="T7" s="14" t="s">
        <v>346</v>
      </c>
      <c r="U7" s="14">
        <v>11</v>
      </c>
      <c r="V7" s="15" t="s">
        <v>351</v>
      </c>
      <c r="W7" s="28">
        <f t="shared" ref="W7:W19" si="0">IF(C7&gt;E7,W$2,IF(C7&lt;E7,W$4,IF(ISNUMBER(C7),W$3,0)))+IF(G7&gt;I7,W$2,IF(G7&lt;I7,W$4,IF(ISNUMBER(G7),W$3,0)))+IF(K7&gt;M7,W$2,IF(K7&lt;M7,W$4,IF(ISNUMBER(K7),W$3,0)))+IF(O7&gt;Q7,W$2,IF(O7&lt;Q7,W$4,IF(ISNUMBER(O7),W$3,0)))+IF(S7&gt;U7,W$2,IF(S7&lt;U7,W$4,IF(ISNUMBER(S7),W$3,0)))</f>
        <v>5</v>
      </c>
      <c r="X7" s="29">
        <v>30</v>
      </c>
      <c r="Y7" s="29"/>
      <c r="Z7" s="13">
        <f t="shared" ref="Z7:Z19" si="1">C7+G7+K7+O7+S7</f>
        <v>65</v>
      </c>
      <c r="AA7" s="14" t="s">
        <v>346</v>
      </c>
      <c r="AB7" s="39">
        <f t="shared" ref="AB7:AB19" si="2">E7+I7+M7+Q7+U7</f>
        <v>25</v>
      </c>
      <c r="AC7" s="40">
        <f t="shared" ref="AC7:AC19" si="3">Z7-AB7</f>
        <v>40</v>
      </c>
      <c r="AD7" s="41">
        <f t="shared" ref="AD7:AD10" si="4">SUM(AE7:AL7)</f>
        <v>54</v>
      </c>
      <c r="AE7" s="42">
        <f>IFERROR(INDEX(V!$R:$R,MATCH(AF7,V!$L:$L,0)),"")</f>
        <v>0</v>
      </c>
      <c r="AF7" s="43" t="str">
        <f t="shared" ref="AF7:AF22" si="5">IFERROR(LEFT($B7,(FIND(",",$B7,1)-1)),"")</f>
        <v>Aarne Välja</v>
      </c>
      <c r="AG7" s="42">
        <f>IFERROR(INDEX(V!$R:$R,MATCH(AH7,V!$L:$L,0)),"")</f>
        <v>54</v>
      </c>
      <c r="AH7" s="43" t="str">
        <f t="shared" ref="AH7:AH22" si="6">IFERROR(MID($B7,FIND(", ",$B7)+2,256),"")</f>
        <v>Janek Tarto</v>
      </c>
      <c r="AI7" s="42" t="str">
        <f>IFERROR(INDEX(V!$R:$R,MATCH(AJ7,V!$L:$L,0)),"")</f>
        <v/>
      </c>
      <c r="AJ7" s="43" t="str">
        <f t="shared" ref="AJ7:AJ22" si="7">IFERROR(MID($B7,FIND("^",SUBSTITUTE($B7,", ","^",1))+2,FIND("^",SUBSTITUTE($B7,", ","^",2))-FIND("^",SUBSTITUTE($B7,", ","^",1))-2),"")</f>
        <v/>
      </c>
      <c r="AK7" s="42" t="str">
        <f>IFERROR(INDEX(V!$R:$R,MATCH(AL7,V!$L:$L,0)),"")</f>
        <v/>
      </c>
      <c r="AL7" s="43" t="str">
        <f t="shared" ref="AL7:AL22" si="8">IFERROR(MID($B7,FIND(", ",$B7,FIND(", ",$B7,FIND(", ",$B7))+1)+2,30000),"")</f>
        <v/>
      </c>
      <c r="AM7" s="42" t="str">
        <f>IFERROR(INDEX(V!$R:$R,MATCH(AN7,V!$L:$L,0)),"")</f>
        <v/>
      </c>
      <c r="AN7" s="43" t="str">
        <f t="shared" ref="AN7:AN22" si="9">IFERROR(MID($B7,FIND(", ",$B7,FIND(", ",$B7)+1)+2,FIND(", ",$B7,FIND(", ",$B7,FIND(", ",$B7)+1)+1)-FIND(", ",$B7,FIND(", ",$B7)+1)-2),"")</f>
        <v/>
      </c>
      <c r="AO7" s="42" t="str">
        <f>IFERROR(INDEX(V!$R:$R,MATCH(AP7,V!$L:$L,0)),"")</f>
        <v/>
      </c>
      <c r="AP7" s="43" t="str">
        <f t="shared" ref="AP7:AP22" si="10">IFERROR(MID($B7,FIND(", ",$B7,FIND(", ",$B7,FIND(", ",$B7)+1)+1)+2,30000),"")</f>
        <v/>
      </c>
    </row>
    <row r="8" spans="1:42">
      <c r="A8" s="11">
        <v>2</v>
      </c>
      <c r="B8" s="16" t="s">
        <v>350</v>
      </c>
      <c r="C8" s="13">
        <v>13</v>
      </c>
      <c r="D8" s="14" t="s">
        <v>346</v>
      </c>
      <c r="E8" s="14">
        <v>3</v>
      </c>
      <c r="F8" s="15" t="s">
        <v>352</v>
      </c>
      <c r="G8" s="13">
        <v>13</v>
      </c>
      <c r="H8" s="14" t="s">
        <v>346</v>
      </c>
      <c r="I8" s="14">
        <v>5</v>
      </c>
      <c r="J8" s="15" t="s">
        <v>353</v>
      </c>
      <c r="K8" s="13">
        <v>11</v>
      </c>
      <c r="L8" s="14" t="s">
        <v>346</v>
      </c>
      <c r="M8" s="14">
        <v>7</v>
      </c>
      <c r="N8" s="15" t="s">
        <v>351</v>
      </c>
      <c r="O8" s="13">
        <v>5</v>
      </c>
      <c r="P8" s="14" t="s">
        <v>346</v>
      </c>
      <c r="Q8" s="14">
        <v>13</v>
      </c>
      <c r="R8" s="15" t="s">
        <v>345</v>
      </c>
      <c r="S8" s="13">
        <v>13</v>
      </c>
      <c r="T8" s="14" t="s">
        <v>346</v>
      </c>
      <c r="U8" s="14">
        <v>10</v>
      </c>
      <c r="V8" s="15" t="s">
        <v>348</v>
      </c>
      <c r="W8" s="28">
        <f t="shared" si="0"/>
        <v>4</v>
      </c>
      <c r="X8" s="29">
        <v>26</v>
      </c>
      <c r="Y8" s="29"/>
      <c r="Z8" s="13">
        <f t="shared" si="1"/>
        <v>55</v>
      </c>
      <c r="AA8" s="14" t="s">
        <v>346</v>
      </c>
      <c r="AB8" s="39">
        <f t="shared" si="2"/>
        <v>38</v>
      </c>
      <c r="AC8" s="40">
        <f t="shared" si="3"/>
        <v>17</v>
      </c>
      <c r="AD8" s="41">
        <f t="shared" si="4"/>
        <v>170</v>
      </c>
      <c r="AE8" s="42">
        <f>IFERROR(INDEX(V!$R:$R,MATCH(AF8,V!$L:$L,0)),"")</f>
        <v>112</v>
      </c>
      <c r="AF8" s="43" t="str">
        <f t="shared" si="5"/>
        <v>Jaan Sepp</v>
      </c>
      <c r="AG8" s="42">
        <f>IFERROR(INDEX(V!$R:$R,MATCH(AH8,V!$L:$L,0)),"")</f>
        <v>58</v>
      </c>
      <c r="AH8" s="43" t="str">
        <f t="shared" si="6"/>
        <v>Matti Vinni</v>
      </c>
      <c r="AI8" s="42" t="str">
        <f>IFERROR(INDEX(V!$R:$R,MATCH(AJ8,V!$L:$L,0)),"")</f>
        <v/>
      </c>
      <c r="AJ8" s="43" t="str">
        <f t="shared" si="7"/>
        <v/>
      </c>
      <c r="AK8" s="42" t="str">
        <f>IFERROR(INDEX(V!$R:$R,MATCH(AL8,V!$L:$L,0)),"")</f>
        <v/>
      </c>
      <c r="AL8" s="43" t="str">
        <f t="shared" si="8"/>
        <v/>
      </c>
      <c r="AM8" s="42" t="str">
        <f>IFERROR(INDEX(V!$R:$R,MATCH(AN8,V!$L:$L,0)),"")</f>
        <v/>
      </c>
      <c r="AN8" s="43" t="str">
        <f t="shared" si="9"/>
        <v/>
      </c>
      <c r="AO8" s="42" t="str">
        <f>IFERROR(INDEX(V!$R:$R,MATCH(AP8,V!$L:$L,0)),"")</f>
        <v/>
      </c>
      <c r="AP8" s="43" t="str">
        <f t="shared" si="10"/>
        <v/>
      </c>
    </row>
    <row r="9" spans="1:42">
      <c r="A9" s="11">
        <v>3</v>
      </c>
      <c r="B9" s="17" t="s">
        <v>348</v>
      </c>
      <c r="C9" s="13">
        <v>13</v>
      </c>
      <c r="D9" s="14" t="s">
        <v>346</v>
      </c>
      <c r="E9" s="14">
        <v>2</v>
      </c>
      <c r="F9" s="15" t="s">
        <v>354</v>
      </c>
      <c r="G9" s="13">
        <v>5</v>
      </c>
      <c r="H9" s="14" t="s">
        <v>346</v>
      </c>
      <c r="I9" s="14">
        <v>13</v>
      </c>
      <c r="J9" s="15" t="s">
        <v>345</v>
      </c>
      <c r="K9" s="13">
        <v>13</v>
      </c>
      <c r="L9" s="14" t="s">
        <v>346</v>
      </c>
      <c r="M9" s="14">
        <v>11</v>
      </c>
      <c r="N9" s="15" t="s">
        <v>353</v>
      </c>
      <c r="O9" s="13">
        <v>13</v>
      </c>
      <c r="P9" s="14" t="s">
        <v>346</v>
      </c>
      <c r="Q9" s="14">
        <v>6</v>
      </c>
      <c r="R9" s="15" t="s">
        <v>349</v>
      </c>
      <c r="S9" s="13">
        <v>10</v>
      </c>
      <c r="T9" s="14" t="s">
        <v>346</v>
      </c>
      <c r="U9" s="14">
        <v>13</v>
      </c>
      <c r="V9" s="15" t="s">
        <v>350</v>
      </c>
      <c r="W9" s="28">
        <f t="shared" si="0"/>
        <v>3</v>
      </c>
      <c r="X9" s="29">
        <v>34</v>
      </c>
      <c r="Y9" s="29"/>
      <c r="Z9" s="13">
        <f t="shared" si="1"/>
        <v>54</v>
      </c>
      <c r="AA9" s="14" t="s">
        <v>346</v>
      </c>
      <c r="AB9" s="39">
        <f t="shared" si="2"/>
        <v>45</v>
      </c>
      <c r="AC9" s="40">
        <f t="shared" si="3"/>
        <v>9</v>
      </c>
      <c r="AD9" s="41">
        <f t="shared" si="4"/>
        <v>246</v>
      </c>
      <c r="AE9" s="42">
        <f>IFERROR(INDEX(V!$R:$R,MATCH(AF9,V!$L:$L,0)),"")</f>
        <v>148</v>
      </c>
      <c r="AF9" s="43" t="str">
        <f t="shared" si="5"/>
        <v>Olav Türk</v>
      </c>
      <c r="AG9" s="42">
        <f>IFERROR(INDEX(V!$R:$R,MATCH(AH9,V!$L:$L,0)),"")</f>
        <v>98</v>
      </c>
      <c r="AH9" s="43" t="str">
        <f t="shared" si="6"/>
        <v>Sirje Maala</v>
      </c>
      <c r="AI9" s="42" t="str">
        <f>IFERROR(INDEX(V!$R:$R,MATCH(AJ9,V!$L:$L,0)),"")</f>
        <v/>
      </c>
      <c r="AJ9" s="43" t="str">
        <f t="shared" si="7"/>
        <v/>
      </c>
      <c r="AK9" s="42" t="str">
        <f>IFERROR(INDEX(V!$R:$R,MATCH(AL9,V!$L:$L,0)),"")</f>
        <v/>
      </c>
      <c r="AL9" s="43" t="str">
        <f t="shared" si="8"/>
        <v/>
      </c>
      <c r="AM9" s="42" t="str">
        <f>IFERROR(INDEX(V!$R:$R,MATCH(AN9,V!$L:$L,0)),"")</f>
        <v/>
      </c>
      <c r="AN9" s="43" t="str">
        <f t="shared" si="9"/>
        <v/>
      </c>
      <c r="AO9" s="42" t="str">
        <f>IFERROR(INDEX(V!$R:$R,MATCH(AP9,V!$L:$L,0)),"")</f>
        <v/>
      </c>
      <c r="AP9" s="43" t="str">
        <f t="shared" si="10"/>
        <v/>
      </c>
    </row>
    <row r="10" spans="1:42">
      <c r="A10" s="11">
        <v>4</v>
      </c>
      <c r="B10" s="17" t="s">
        <v>349</v>
      </c>
      <c r="C10" s="13">
        <v>13</v>
      </c>
      <c r="D10" s="14" t="s">
        <v>346</v>
      </c>
      <c r="E10" s="14">
        <v>8</v>
      </c>
      <c r="F10" s="15" t="s">
        <v>355</v>
      </c>
      <c r="G10" s="13">
        <v>13</v>
      </c>
      <c r="H10" s="14" t="s">
        <v>346</v>
      </c>
      <c r="I10" s="14">
        <v>8</v>
      </c>
      <c r="J10" s="15" t="s">
        <v>356</v>
      </c>
      <c r="K10" s="13">
        <v>2</v>
      </c>
      <c r="L10" s="14" t="s">
        <v>346</v>
      </c>
      <c r="M10" s="14">
        <v>13</v>
      </c>
      <c r="N10" s="15" t="s">
        <v>345</v>
      </c>
      <c r="O10" s="13">
        <v>6</v>
      </c>
      <c r="P10" s="14" t="s">
        <v>346</v>
      </c>
      <c r="Q10" s="14">
        <v>13</v>
      </c>
      <c r="R10" s="15" t="s">
        <v>348</v>
      </c>
      <c r="S10" s="13">
        <v>13</v>
      </c>
      <c r="T10" s="14" t="s">
        <v>346</v>
      </c>
      <c r="U10" s="14">
        <v>12</v>
      </c>
      <c r="V10" s="15" t="s">
        <v>357</v>
      </c>
      <c r="W10" s="28">
        <f t="shared" si="0"/>
        <v>3</v>
      </c>
      <c r="X10" s="29">
        <v>32</v>
      </c>
      <c r="Y10" s="29"/>
      <c r="Z10" s="13">
        <f t="shared" si="1"/>
        <v>47</v>
      </c>
      <c r="AA10" s="14" t="s">
        <v>346</v>
      </c>
      <c r="AB10" s="39">
        <f t="shared" si="2"/>
        <v>54</v>
      </c>
      <c r="AC10" s="40">
        <f t="shared" si="3"/>
        <v>-7</v>
      </c>
      <c r="AD10" s="41">
        <f t="shared" si="4"/>
        <v>186</v>
      </c>
      <c r="AE10" s="42">
        <f>IFERROR(INDEX(V!$R:$R,MATCH(AF10,V!$L:$L,0)),"")</f>
        <v>104</v>
      </c>
      <c r="AF10" s="43" t="str">
        <f t="shared" si="5"/>
        <v>Andres Veski</v>
      </c>
      <c r="AG10" s="42">
        <f>IFERROR(INDEX(V!$R:$R,MATCH(AH10,V!$L:$L,0)),"")</f>
        <v>82</v>
      </c>
      <c r="AH10" s="43" t="str">
        <f t="shared" si="6"/>
        <v>Svetlana Veski</v>
      </c>
      <c r="AI10" s="42" t="str">
        <f>IFERROR(INDEX(V!$R:$R,MATCH(AJ10,V!$L:$L,0)),"")</f>
        <v/>
      </c>
      <c r="AJ10" s="43" t="str">
        <f t="shared" si="7"/>
        <v/>
      </c>
      <c r="AK10" s="42" t="str">
        <f>IFERROR(INDEX(V!$R:$R,MATCH(AL10,V!$L:$L,0)),"")</f>
        <v/>
      </c>
      <c r="AL10" s="43" t="str">
        <f t="shared" si="8"/>
        <v/>
      </c>
      <c r="AM10" s="42" t="str">
        <f>IFERROR(INDEX(V!$R:$R,MATCH(AN10,V!$L:$L,0)),"")</f>
        <v/>
      </c>
      <c r="AN10" s="43" t="str">
        <f t="shared" si="9"/>
        <v/>
      </c>
      <c r="AO10" s="42" t="str">
        <f>IFERROR(INDEX(V!$R:$R,MATCH(AP10,V!$L:$L,0)),"")</f>
        <v/>
      </c>
      <c r="AP10" s="43" t="str">
        <f t="shared" si="10"/>
        <v/>
      </c>
    </row>
    <row r="11" spans="1:42">
      <c r="A11" s="11">
        <v>5</v>
      </c>
      <c r="B11" s="16" t="s">
        <v>351</v>
      </c>
      <c r="C11" s="13">
        <v>8</v>
      </c>
      <c r="D11" s="14" t="s">
        <v>346</v>
      </c>
      <c r="E11" s="14">
        <v>6</v>
      </c>
      <c r="F11" s="15" t="s">
        <v>358</v>
      </c>
      <c r="G11" s="13">
        <v>13</v>
      </c>
      <c r="H11" s="14" t="s">
        <v>346</v>
      </c>
      <c r="I11" s="14">
        <v>8</v>
      </c>
      <c r="J11" s="15" t="s">
        <v>359</v>
      </c>
      <c r="K11" s="13">
        <v>7</v>
      </c>
      <c r="L11" s="14" t="s">
        <v>346</v>
      </c>
      <c r="M11" s="14">
        <v>11</v>
      </c>
      <c r="N11" s="15" t="s">
        <v>350</v>
      </c>
      <c r="O11" s="13">
        <v>13</v>
      </c>
      <c r="P11" s="14" t="s">
        <v>346</v>
      </c>
      <c r="Q11" s="14">
        <v>1</v>
      </c>
      <c r="R11" s="15" t="s">
        <v>356</v>
      </c>
      <c r="S11" s="13">
        <v>11</v>
      </c>
      <c r="T11" s="14" t="s">
        <v>346</v>
      </c>
      <c r="U11" s="14">
        <v>13</v>
      </c>
      <c r="V11" s="15" t="s">
        <v>345</v>
      </c>
      <c r="W11" s="28">
        <f t="shared" si="0"/>
        <v>3</v>
      </c>
      <c r="X11" s="29">
        <v>30</v>
      </c>
      <c r="Y11" s="29"/>
      <c r="Z11" s="13">
        <f t="shared" si="1"/>
        <v>52</v>
      </c>
      <c r="AA11" s="14" t="s">
        <v>346</v>
      </c>
      <c r="AB11" s="39">
        <f t="shared" si="2"/>
        <v>39</v>
      </c>
      <c r="AC11" s="40">
        <f t="shared" si="3"/>
        <v>13</v>
      </c>
      <c r="AD11" s="41">
        <f t="shared" ref="AD11:AD13" si="11">SUM(AE11:AL11)</f>
        <v>44</v>
      </c>
      <c r="AE11" s="42">
        <f>IFERROR(INDEX(V!$R:$R,MATCH(AF11,V!$L:$L,0)),"")</f>
        <v>24</v>
      </c>
      <c r="AF11" s="43" t="str">
        <f t="shared" si="5"/>
        <v>Ivar Viljaste</v>
      </c>
      <c r="AG11" s="42">
        <f>IFERROR(INDEX(V!$R:$R,MATCH(AH11,V!$L:$L,0)),"")</f>
        <v>20</v>
      </c>
      <c r="AH11" s="43" t="str">
        <f t="shared" si="6"/>
        <v>Sirje Viljaste</v>
      </c>
      <c r="AI11" s="42" t="str">
        <f>IFERROR(INDEX(V!$R:$R,MATCH(AJ11,V!$L:$L,0)),"")</f>
        <v/>
      </c>
      <c r="AJ11" s="43" t="str">
        <f t="shared" si="7"/>
        <v/>
      </c>
      <c r="AK11" s="42" t="str">
        <f>IFERROR(INDEX(V!$R:$R,MATCH(AL11,V!$L:$L,0)),"")</f>
        <v/>
      </c>
      <c r="AL11" s="43" t="str">
        <f t="shared" si="8"/>
        <v/>
      </c>
      <c r="AM11" s="42" t="str">
        <f>IFERROR(INDEX(V!$R:$R,MATCH(AN11,V!$L:$L,0)),"")</f>
        <v/>
      </c>
      <c r="AN11" s="43" t="str">
        <f t="shared" si="9"/>
        <v/>
      </c>
      <c r="AO11" s="42" t="str">
        <f>IFERROR(INDEX(V!$R:$R,MATCH(AP11,V!$L:$L,0)),"")</f>
        <v/>
      </c>
      <c r="AP11" s="43" t="str">
        <f t="shared" si="10"/>
        <v/>
      </c>
    </row>
    <row r="12" spans="1:42">
      <c r="A12" s="11">
        <v>6</v>
      </c>
      <c r="B12" s="17" t="s">
        <v>357</v>
      </c>
      <c r="C12" s="13">
        <v>11</v>
      </c>
      <c r="D12" s="14" t="s">
        <v>346</v>
      </c>
      <c r="E12" s="14">
        <v>13</v>
      </c>
      <c r="F12" s="15" t="s">
        <v>359</v>
      </c>
      <c r="G12" s="13">
        <v>13</v>
      </c>
      <c r="H12" s="14" t="s">
        <v>346</v>
      </c>
      <c r="I12" s="14">
        <v>6</v>
      </c>
      <c r="J12" s="15" t="s">
        <v>360</v>
      </c>
      <c r="K12" s="13">
        <v>13</v>
      </c>
      <c r="L12" s="14" t="s">
        <v>346</v>
      </c>
      <c r="M12" s="14">
        <v>4</v>
      </c>
      <c r="N12" s="15" t="s">
        <v>354</v>
      </c>
      <c r="O12" s="13">
        <v>13</v>
      </c>
      <c r="P12" s="14" t="s">
        <v>346</v>
      </c>
      <c r="Q12" s="14">
        <v>9</v>
      </c>
      <c r="R12" s="15" t="s">
        <v>355</v>
      </c>
      <c r="S12" s="13">
        <v>12</v>
      </c>
      <c r="T12" s="14" t="s">
        <v>346</v>
      </c>
      <c r="U12" s="14">
        <v>13</v>
      </c>
      <c r="V12" s="15" t="s">
        <v>349</v>
      </c>
      <c r="W12" s="28">
        <f t="shared" si="0"/>
        <v>3</v>
      </c>
      <c r="X12" s="29">
        <v>24</v>
      </c>
      <c r="Y12" s="29"/>
      <c r="Z12" s="13">
        <f t="shared" si="1"/>
        <v>62</v>
      </c>
      <c r="AA12" s="14" t="s">
        <v>346</v>
      </c>
      <c r="AB12" s="39">
        <f t="shared" si="2"/>
        <v>45</v>
      </c>
      <c r="AC12" s="40">
        <f t="shared" si="3"/>
        <v>17</v>
      </c>
      <c r="AD12" s="41">
        <f t="shared" si="11"/>
        <v>0</v>
      </c>
      <c r="AE12" s="42" t="str">
        <f>IFERROR(INDEX(V!$R:$R,MATCH(AF12,V!$L:$L,0)),"")</f>
        <v/>
      </c>
      <c r="AF12" s="43" t="str">
        <f t="shared" si="5"/>
        <v/>
      </c>
      <c r="AG12" s="42" t="str">
        <f>IFERROR(INDEX(V!$R:$R,MATCH(AH12,V!$L:$L,0)),"")</f>
        <v/>
      </c>
      <c r="AH12" s="43" t="str">
        <f t="shared" si="6"/>
        <v/>
      </c>
      <c r="AI12" s="42" t="str">
        <f>IFERROR(INDEX(V!$R:$R,MATCH(AJ12,V!$L:$L,0)),"")</f>
        <v/>
      </c>
      <c r="AJ12" s="43" t="str">
        <f t="shared" si="7"/>
        <v/>
      </c>
      <c r="AK12" s="42" t="str">
        <f>IFERROR(INDEX(V!$R:$R,MATCH(AL12,V!$L:$L,0)),"")</f>
        <v/>
      </c>
      <c r="AL12" s="43" t="str">
        <f t="shared" si="8"/>
        <v/>
      </c>
      <c r="AM12" s="42" t="str">
        <f>IFERROR(INDEX(V!$R:$R,MATCH(AN12,V!$L:$L,0)),"")</f>
        <v/>
      </c>
      <c r="AN12" s="43" t="str">
        <f t="shared" si="9"/>
        <v/>
      </c>
      <c r="AO12" s="42" t="str">
        <f>IFERROR(INDEX(V!$R:$R,MATCH(AP12,V!$L:$L,0)),"")</f>
        <v/>
      </c>
      <c r="AP12" s="43" t="str">
        <f t="shared" si="10"/>
        <v/>
      </c>
    </row>
    <row r="13" spans="1:42">
      <c r="A13" s="11">
        <v>7</v>
      </c>
      <c r="B13" s="18" t="s">
        <v>356</v>
      </c>
      <c r="C13" s="13">
        <v>13</v>
      </c>
      <c r="D13" s="14" t="s">
        <v>346</v>
      </c>
      <c r="E13" s="14">
        <v>11</v>
      </c>
      <c r="F13" s="15" t="s">
        <v>360</v>
      </c>
      <c r="G13" s="13">
        <v>8</v>
      </c>
      <c r="H13" s="14" t="s">
        <v>346</v>
      </c>
      <c r="I13" s="14">
        <v>13</v>
      </c>
      <c r="J13" s="15" t="s">
        <v>349</v>
      </c>
      <c r="K13" s="13">
        <v>13</v>
      </c>
      <c r="L13" s="14" t="s">
        <v>346</v>
      </c>
      <c r="M13" s="14">
        <v>7</v>
      </c>
      <c r="N13" s="15" t="s">
        <v>361</v>
      </c>
      <c r="O13" s="13">
        <v>1</v>
      </c>
      <c r="P13" s="14" t="s">
        <v>346</v>
      </c>
      <c r="Q13" s="14">
        <v>13</v>
      </c>
      <c r="R13" s="15" t="s">
        <v>351</v>
      </c>
      <c r="S13" s="13">
        <v>13</v>
      </c>
      <c r="T13" s="14" t="s">
        <v>346</v>
      </c>
      <c r="U13" s="14">
        <v>5</v>
      </c>
      <c r="V13" s="15" t="s">
        <v>355</v>
      </c>
      <c r="W13" s="28">
        <f t="shared" si="0"/>
        <v>3</v>
      </c>
      <c r="X13" s="29">
        <v>24</v>
      </c>
      <c r="Y13" s="29"/>
      <c r="Z13" s="13">
        <f t="shared" si="1"/>
        <v>48</v>
      </c>
      <c r="AA13" s="14" t="s">
        <v>346</v>
      </c>
      <c r="AB13" s="39">
        <f t="shared" si="2"/>
        <v>49</v>
      </c>
      <c r="AC13" s="40">
        <f t="shared" si="3"/>
        <v>-1</v>
      </c>
      <c r="AD13" s="41">
        <f t="shared" si="11"/>
        <v>140</v>
      </c>
      <c r="AE13" s="42">
        <f>IFERROR(INDEX(V!$R:$R,MATCH(AF13,V!$L:$L,0)),"")</f>
        <v>70</v>
      </c>
      <c r="AF13" s="43" t="str">
        <f t="shared" si="5"/>
        <v>Ljudmila Varendi</v>
      </c>
      <c r="AG13" s="42">
        <f>IFERROR(INDEX(V!$R:$R,MATCH(AH13,V!$L:$L,0)),"")</f>
        <v>70</v>
      </c>
      <c r="AH13" s="43" t="str">
        <f t="shared" si="6"/>
        <v>Viktor Švarõgin</v>
      </c>
      <c r="AI13" s="42" t="str">
        <f>IFERROR(INDEX(V!$R:$R,MATCH(AJ13,V!$L:$L,0)),"")</f>
        <v/>
      </c>
      <c r="AJ13" s="43" t="str">
        <f t="shared" si="7"/>
        <v/>
      </c>
      <c r="AK13" s="42" t="str">
        <f>IFERROR(INDEX(V!$R:$R,MATCH(AL13,V!$L:$L,0)),"")</f>
        <v/>
      </c>
      <c r="AL13" s="43" t="str">
        <f t="shared" si="8"/>
        <v/>
      </c>
      <c r="AM13" s="42" t="str">
        <f>IFERROR(INDEX(V!$R:$R,MATCH(AN13,V!$L:$L,0)),"")</f>
        <v/>
      </c>
      <c r="AN13" s="43" t="str">
        <f t="shared" si="9"/>
        <v/>
      </c>
      <c r="AO13" s="42" t="str">
        <f>IFERROR(INDEX(V!$R:$R,MATCH(AP13,V!$L:$L,0)),"")</f>
        <v/>
      </c>
      <c r="AP13" s="43" t="str">
        <f t="shared" si="10"/>
        <v/>
      </c>
    </row>
    <row r="14" spans="1:42">
      <c r="A14" s="11">
        <v>8</v>
      </c>
      <c r="B14" s="18" t="s">
        <v>354</v>
      </c>
      <c r="C14" s="13">
        <v>2</v>
      </c>
      <c r="D14" s="14" t="s">
        <v>346</v>
      </c>
      <c r="E14" s="14">
        <v>13</v>
      </c>
      <c r="F14" s="15" t="s">
        <v>348</v>
      </c>
      <c r="G14" s="13">
        <v>13</v>
      </c>
      <c r="H14" s="14" t="s">
        <v>346</v>
      </c>
      <c r="I14" s="14">
        <v>9</v>
      </c>
      <c r="J14" s="15" t="s">
        <v>347</v>
      </c>
      <c r="K14" s="13">
        <v>4</v>
      </c>
      <c r="L14" s="14" t="s">
        <v>346</v>
      </c>
      <c r="M14" s="14">
        <v>13</v>
      </c>
      <c r="N14" s="15" t="s">
        <v>357</v>
      </c>
      <c r="O14" s="13">
        <v>13</v>
      </c>
      <c r="P14" s="14" t="s">
        <v>346</v>
      </c>
      <c r="Q14" s="14">
        <v>4</v>
      </c>
      <c r="R14" s="15" t="s">
        <v>360</v>
      </c>
      <c r="S14" s="13">
        <v>13</v>
      </c>
      <c r="T14" s="14" t="s">
        <v>346</v>
      </c>
      <c r="U14" s="14">
        <v>10</v>
      </c>
      <c r="V14" s="15" t="s">
        <v>353</v>
      </c>
      <c r="W14" s="28">
        <f t="shared" si="0"/>
        <v>3</v>
      </c>
      <c r="X14" s="29">
        <v>24</v>
      </c>
      <c r="Y14" s="29"/>
      <c r="Z14" s="13">
        <f t="shared" si="1"/>
        <v>45</v>
      </c>
      <c r="AA14" s="14" t="s">
        <v>346</v>
      </c>
      <c r="AB14" s="39">
        <f t="shared" si="2"/>
        <v>49</v>
      </c>
      <c r="AC14" s="40">
        <f t="shared" si="3"/>
        <v>-4</v>
      </c>
      <c r="AD14" s="41">
        <f t="shared" ref="AD14:AD15" si="12">SUM(AE14:AL14)</f>
        <v>80</v>
      </c>
      <c r="AE14" s="42">
        <f>IFERROR(INDEX(V!$R:$R,MATCH(AF14,V!$L:$L,0)),"")</f>
        <v>30</v>
      </c>
      <c r="AF14" s="43" t="str">
        <f t="shared" si="5"/>
        <v>Lemmit Toomra</v>
      </c>
      <c r="AG14" s="42">
        <f>IFERROR(INDEX(V!$R:$R,MATCH(AH14,V!$L:$L,0)),"")</f>
        <v>50</v>
      </c>
      <c r="AH14" s="43" t="str">
        <f t="shared" si="6"/>
        <v>Tõnu Kapper</v>
      </c>
      <c r="AI14" s="42" t="str">
        <f>IFERROR(INDEX(V!$R:$R,MATCH(AJ14,V!$L:$L,0)),"")</f>
        <v/>
      </c>
      <c r="AJ14" s="43" t="str">
        <f t="shared" si="7"/>
        <v/>
      </c>
      <c r="AK14" s="42" t="str">
        <f>IFERROR(INDEX(V!$R:$R,MATCH(AL14,V!$L:$L,0)),"")</f>
        <v/>
      </c>
      <c r="AL14" s="43" t="str">
        <f t="shared" si="8"/>
        <v/>
      </c>
      <c r="AM14" s="42" t="str">
        <f>IFERROR(INDEX(V!$R:$R,MATCH(AN14,V!$L:$L,0)),"")</f>
        <v/>
      </c>
      <c r="AN14" s="43" t="str">
        <f t="shared" si="9"/>
        <v/>
      </c>
      <c r="AO14" s="42" t="str">
        <f>IFERROR(INDEX(V!$R:$R,MATCH(AP14,V!$L:$L,0)),"")</f>
        <v/>
      </c>
      <c r="AP14" s="43" t="str">
        <f t="shared" si="10"/>
        <v/>
      </c>
    </row>
    <row r="15" spans="1:42">
      <c r="A15" s="11">
        <v>9</v>
      </c>
      <c r="B15" s="17" t="s">
        <v>353</v>
      </c>
      <c r="C15" s="13">
        <v>13</v>
      </c>
      <c r="D15" s="14" t="s">
        <v>346</v>
      </c>
      <c r="E15" s="14">
        <v>7</v>
      </c>
      <c r="F15" s="15" t="s">
        <v>361</v>
      </c>
      <c r="G15" s="13">
        <v>5</v>
      </c>
      <c r="H15" s="14" t="s">
        <v>346</v>
      </c>
      <c r="I15" s="14">
        <v>13</v>
      </c>
      <c r="J15" s="15" t="s">
        <v>350</v>
      </c>
      <c r="K15" s="13">
        <v>11</v>
      </c>
      <c r="L15" s="14" t="s">
        <v>346</v>
      </c>
      <c r="M15" s="14">
        <v>13</v>
      </c>
      <c r="N15" s="15" t="s">
        <v>348</v>
      </c>
      <c r="O15" s="13">
        <v>13</v>
      </c>
      <c r="P15" s="14" t="s">
        <v>346</v>
      </c>
      <c r="Q15" s="14">
        <v>4</v>
      </c>
      <c r="R15" s="15" t="s">
        <v>359</v>
      </c>
      <c r="S15" s="13">
        <v>10</v>
      </c>
      <c r="T15" s="14" t="s">
        <v>346</v>
      </c>
      <c r="U15" s="14">
        <v>13</v>
      </c>
      <c r="V15" s="15" t="s">
        <v>354</v>
      </c>
      <c r="W15" s="28">
        <f t="shared" si="0"/>
        <v>2</v>
      </c>
      <c r="X15" s="29">
        <v>28</v>
      </c>
      <c r="Y15" s="29"/>
      <c r="Z15" s="13">
        <f t="shared" si="1"/>
        <v>52</v>
      </c>
      <c r="AA15" s="14" t="s">
        <v>346</v>
      </c>
      <c r="AB15" s="39">
        <f t="shared" si="2"/>
        <v>50</v>
      </c>
      <c r="AC15" s="40">
        <f t="shared" si="3"/>
        <v>2</v>
      </c>
      <c r="AD15" s="41">
        <f t="shared" si="12"/>
        <v>74</v>
      </c>
      <c r="AE15" s="42">
        <f>IFERROR(INDEX(V!$R:$R,MATCH(AF15,V!$L:$L,0)),"")</f>
        <v>26</v>
      </c>
      <c r="AF15" s="43" t="str">
        <f t="shared" si="5"/>
        <v>Jaan Saar</v>
      </c>
      <c r="AG15" s="42">
        <f>IFERROR(INDEX(V!$R:$R,MATCH(AH15,V!$L:$L,0)),"")</f>
        <v>48</v>
      </c>
      <c r="AH15" s="43" t="str">
        <f t="shared" si="6"/>
        <v>Liidia Põllu</v>
      </c>
      <c r="AI15" s="42" t="str">
        <f>IFERROR(INDEX(V!$R:$R,MATCH(AJ15,V!$L:$L,0)),"")</f>
        <v/>
      </c>
      <c r="AJ15" s="43" t="str">
        <f t="shared" si="7"/>
        <v/>
      </c>
      <c r="AK15" s="42" t="str">
        <f>IFERROR(INDEX(V!$R:$R,MATCH(AL15,V!$L:$L,0)),"")</f>
        <v/>
      </c>
      <c r="AL15" s="43" t="str">
        <f t="shared" si="8"/>
        <v/>
      </c>
      <c r="AM15" s="42" t="str">
        <f>IFERROR(INDEX(V!$R:$R,MATCH(AN15,V!$L:$L,0)),"")</f>
        <v/>
      </c>
      <c r="AN15" s="43" t="str">
        <f t="shared" si="9"/>
        <v/>
      </c>
      <c r="AO15" s="42" t="str">
        <f>IFERROR(INDEX(V!$R:$R,MATCH(AP15,V!$L:$L,0)),"")</f>
        <v/>
      </c>
      <c r="AP15" s="43" t="str">
        <f t="shared" si="10"/>
        <v/>
      </c>
    </row>
    <row r="16" spans="1:42">
      <c r="A16" s="11">
        <v>10</v>
      </c>
      <c r="B16" s="18" t="s">
        <v>355</v>
      </c>
      <c r="C16" s="13">
        <v>8</v>
      </c>
      <c r="D16" s="14" t="s">
        <v>346</v>
      </c>
      <c r="E16" s="14">
        <v>13</v>
      </c>
      <c r="F16" s="15" t="s">
        <v>349</v>
      </c>
      <c r="G16" s="13">
        <v>13</v>
      </c>
      <c r="H16" s="14" t="s">
        <v>346</v>
      </c>
      <c r="I16" s="14">
        <v>7</v>
      </c>
      <c r="J16" s="15" t="s">
        <v>358</v>
      </c>
      <c r="K16" s="13">
        <v>13</v>
      </c>
      <c r="L16" s="14" t="s">
        <v>346</v>
      </c>
      <c r="M16" s="14">
        <v>4</v>
      </c>
      <c r="N16" s="15" t="s">
        <v>359</v>
      </c>
      <c r="O16" s="13">
        <v>9</v>
      </c>
      <c r="P16" s="14" t="s">
        <v>346</v>
      </c>
      <c r="Q16" s="14">
        <v>13</v>
      </c>
      <c r="R16" s="15" t="s">
        <v>357</v>
      </c>
      <c r="S16" s="13">
        <v>5</v>
      </c>
      <c r="T16" s="14" t="s">
        <v>346</v>
      </c>
      <c r="U16" s="14">
        <v>13</v>
      </c>
      <c r="V16" s="15" t="s">
        <v>356</v>
      </c>
      <c r="W16" s="28">
        <f t="shared" si="0"/>
        <v>2</v>
      </c>
      <c r="X16" s="29">
        <v>24</v>
      </c>
      <c r="Y16" s="29"/>
      <c r="Z16" s="13">
        <f t="shared" si="1"/>
        <v>48</v>
      </c>
      <c r="AA16" s="14" t="s">
        <v>346</v>
      </c>
      <c r="AB16" s="39">
        <f t="shared" si="2"/>
        <v>50</v>
      </c>
      <c r="AC16" s="40">
        <f t="shared" si="3"/>
        <v>-2</v>
      </c>
      <c r="AD16" s="41">
        <f t="shared" ref="AD16:AD19" si="13">SUM(AE16:AL16)</f>
        <v>132</v>
      </c>
      <c r="AE16" s="42">
        <f>IFERROR(INDEX(V!$R:$R,MATCH(AF16,V!$L:$L,0)),"")</f>
        <v>72</v>
      </c>
      <c r="AF16" s="43" t="str">
        <f t="shared" si="5"/>
        <v>Hillar Neiland</v>
      </c>
      <c r="AG16" s="42">
        <f>IFERROR(INDEX(V!$R:$R,MATCH(AH16,V!$L:$L,0)),"")</f>
        <v>60</v>
      </c>
      <c r="AH16" s="43" t="str">
        <f t="shared" si="6"/>
        <v>Kaspar Mänd</v>
      </c>
      <c r="AI16" s="42" t="str">
        <f>IFERROR(INDEX(V!$R:$R,MATCH(AJ16,V!$L:$L,0)),"")</f>
        <v/>
      </c>
      <c r="AJ16" s="43" t="str">
        <f t="shared" si="7"/>
        <v/>
      </c>
      <c r="AK16" s="42" t="str">
        <f>IFERROR(INDEX(V!$R:$R,MATCH(AL16,V!$L:$L,0)),"")</f>
        <v/>
      </c>
      <c r="AL16" s="43" t="str">
        <f t="shared" si="8"/>
        <v/>
      </c>
      <c r="AM16" s="42" t="str">
        <f>IFERROR(INDEX(V!$R:$R,MATCH(AN16,V!$L:$L,0)),"")</f>
        <v/>
      </c>
      <c r="AN16" s="43" t="str">
        <f t="shared" si="9"/>
        <v/>
      </c>
      <c r="AO16" s="42" t="str">
        <f>IFERROR(INDEX(V!$R:$R,MATCH(AP16,V!$L:$L,0)),"")</f>
        <v/>
      </c>
      <c r="AP16" s="43" t="str">
        <f t="shared" si="10"/>
        <v/>
      </c>
    </row>
    <row r="17" spans="1:42">
      <c r="A17" s="11">
        <v>11</v>
      </c>
      <c r="B17" s="17" t="s">
        <v>359</v>
      </c>
      <c r="C17" s="13">
        <v>13</v>
      </c>
      <c r="D17" s="14" t="s">
        <v>346</v>
      </c>
      <c r="E17" s="14">
        <v>11</v>
      </c>
      <c r="F17" s="15" t="s">
        <v>357</v>
      </c>
      <c r="G17" s="13">
        <v>8</v>
      </c>
      <c r="H17" s="14" t="s">
        <v>346</v>
      </c>
      <c r="I17" s="14">
        <v>13</v>
      </c>
      <c r="J17" s="15" t="s">
        <v>351</v>
      </c>
      <c r="K17" s="13">
        <v>4</v>
      </c>
      <c r="L17" s="14" t="s">
        <v>346</v>
      </c>
      <c r="M17" s="14">
        <v>13</v>
      </c>
      <c r="N17" s="15" t="s">
        <v>355</v>
      </c>
      <c r="O17" s="13">
        <v>4</v>
      </c>
      <c r="P17" s="14" t="s">
        <v>346</v>
      </c>
      <c r="Q17" s="14">
        <v>13</v>
      </c>
      <c r="R17" s="15" t="s">
        <v>353</v>
      </c>
      <c r="S17" s="13">
        <v>13</v>
      </c>
      <c r="T17" s="14" t="s">
        <v>346</v>
      </c>
      <c r="U17" s="14">
        <v>1</v>
      </c>
      <c r="V17" s="15" t="s">
        <v>361</v>
      </c>
      <c r="W17" s="28">
        <f t="shared" si="0"/>
        <v>2</v>
      </c>
      <c r="X17" s="29">
        <v>24</v>
      </c>
      <c r="Y17" s="29"/>
      <c r="Z17" s="13">
        <f t="shared" si="1"/>
        <v>42</v>
      </c>
      <c r="AA17" s="14" t="s">
        <v>346</v>
      </c>
      <c r="AB17" s="39">
        <f t="shared" si="2"/>
        <v>51</v>
      </c>
      <c r="AC17" s="40">
        <f t="shared" si="3"/>
        <v>-9</v>
      </c>
      <c r="AD17" s="41">
        <f t="shared" si="13"/>
        <v>322</v>
      </c>
      <c r="AE17" s="42">
        <f>IFERROR(INDEX(V!$R:$R,MATCH(AF17,V!$L:$L,0)),"")</f>
        <v>146</v>
      </c>
      <c r="AF17" s="43" t="str">
        <f t="shared" si="5"/>
        <v>Kristel Tihhonjuk</v>
      </c>
      <c r="AG17" s="42">
        <f>IFERROR(INDEX(V!$R:$R,MATCH(AH17,V!$L:$L,0)),"")</f>
        <v>176</v>
      </c>
      <c r="AH17" s="43" t="str">
        <f t="shared" si="6"/>
        <v>Vadim Tihhonjuk</v>
      </c>
      <c r="AI17" s="42" t="str">
        <f>IFERROR(INDEX(V!$R:$R,MATCH(AJ17,V!$L:$L,0)),"")</f>
        <v/>
      </c>
      <c r="AJ17" s="43" t="str">
        <f t="shared" si="7"/>
        <v/>
      </c>
      <c r="AK17" s="42" t="str">
        <f>IFERROR(INDEX(V!$R:$R,MATCH(AL17,V!$L:$L,0)),"")</f>
        <v/>
      </c>
      <c r="AL17" s="43" t="str">
        <f t="shared" si="8"/>
        <v/>
      </c>
      <c r="AM17" s="42" t="str">
        <f>IFERROR(INDEX(V!$R:$R,MATCH(AN17,V!$L:$L,0)),"")</f>
        <v/>
      </c>
      <c r="AN17" s="43" t="str">
        <f t="shared" si="9"/>
        <v/>
      </c>
      <c r="AO17" s="42" t="str">
        <f>IFERROR(INDEX(V!$R:$R,MATCH(AP17,V!$L:$L,0)),"")</f>
        <v/>
      </c>
      <c r="AP17" s="43" t="str">
        <f t="shared" si="10"/>
        <v/>
      </c>
    </row>
    <row r="18" spans="1:42">
      <c r="A18" s="11">
        <v>12</v>
      </c>
      <c r="B18" s="18" t="s">
        <v>347</v>
      </c>
      <c r="C18" s="13">
        <v>2</v>
      </c>
      <c r="D18" s="14" t="s">
        <v>346</v>
      </c>
      <c r="E18" s="14">
        <v>13</v>
      </c>
      <c r="F18" s="15" t="s">
        <v>345</v>
      </c>
      <c r="G18" s="13">
        <v>9</v>
      </c>
      <c r="H18" s="14" t="s">
        <v>346</v>
      </c>
      <c r="I18" s="14">
        <v>13</v>
      </c>
      <c r="J18" s="15" t="s">
        <v>354</v>
      </c>
      <c r="K18" s="13">
        <v>13</v>
      </c>
      <c r="L18" s="14" t="s">
        <v>346</v>
      </c>
      <c r="M18" s="14">
        <v>7</v>
      </c>
      <c r="N18" s="15" t="s">
        <v>358</v>
      </c>
      <c r="O18" s="13">
        <v>12</v>
      </c>
      <c r="P18" s="14" t="s">
        <v>346</v>
      </c>
      <c r="Q18" s="14">
        <v>13</v>
      </c>
      <c r="R18" s="15" t="s">
        <v>361</v>
      </c>
      <c r="S18" s="13">
        <v>13</v>
      </c>
      <c r="T18" s="14" t="s">
        <v>346</v>
      </c>
      <c r="U18" s="14">
        <v>2</v>
      </c>
      <c r="V18" s="15" t="s">
        <v>352</v>
      </c>
      <c r="W18" s="28">
        <f t="shared" si="0"/>
        <v>2</v>
      </c>
      <c r="X18" s="29">
        <v>22</v>
      </c>
      <c r="Y18" s="29"/>
      <c r="Z18" s="13">
        <f t="shared" si="1"/>
        <v>49</v>
      </c>
      <c r="AA18" s="14" t="s">
        <v>346</v>
      </c>
      <c r="AB18" s="39">
        <f t="shared" si="2"/>
        <v>48</v>
      </c>
      <c r="AC18" s="40">
        <f t="shared" si="3"/>
        <v>1</v>
      </c>
      <c r="AD18" s="41">
        <f t="shared" si="13"/>
        <v>96</v>
      </c>
      <c r="AE18" s="42">
        <f>IFERROR(INDEX(V!$R:$R,MATCH(AF18,V!$L:$L,0)),"")</f>
        <v>62</v>
      </c>
      <c r="AF18" s="43" t="str">
        <f t="shared" si="5"/>
        <v>Johannes Neiland</v>
      </c>
      <c r="AG18" s="42">
        <f>IFERROR(INDEX(V!$R:$R,MATCH(AH18,V!$L:$L,0)),"")</f>
        <v>34</v>
      </c>
      <c r="AH18" s="43" t="str">
        <f t="shared" si="6"/>
        <v>Urmas Randlaine</v>
      </c>
      <c r="AI18" s="42" t="str">
        <f>IFERROR(INDEX(V!$R:$R,MATCH(AJ18,V!$L:$L,0)),"")</f>
        <v/>
      </c>
      <c r="AJ18" s="43" t="str">
        <f t="shared" si="7"/>
        <v/>
      </c>
      <c r="AK18" s="42" t="str">
        <f>IFERROR(INDEX(V!$R:$R,MATCH(AL18,V!$L:$L,0)),"")</f>
        <v/>
      </c>
      <c r="AL18" s="43" t="str">
        <f t="shared" si="8"/>
        <v/>
      </c>
      <c r="AM18" s="42" t="str">
        <f>IFERROR(INDEX(V!$R:$R,MATCH(AN18,V!$L:$L,0)),"")</f>
        <v/>
      </c>
      <c r="AN18" s="43" t="str">
        <f t="shared" si="9"/>
        <v/>
      </c>
      <c r="AO18" s="42" t="str">
        <f>IFERROR(INDEX(V!$R:$R,MATCH(AP18,V!$L:$L,0)),"")</f>
        <v/>
      </c>
      <c r="AP18" s="43" t="str">
        <f t="shared" si="10"/>
        <v/>
      </c>
    </row>
    <row r="19" spans="1:42">
      <c r="A19" s="11">
        <v>13</v>
      </c>
      <c r="B19" s="17" t="s">
        <v>360</v>
      </c>
      <c r="C19" s="13">
        <v>11</v>
      </c>
      <c r="D19" s="14" t="s">
        <v>346</v>
      </c>
      <c r="E19" s="14">
        <v>13</v>
      </c>
      <c r="F19" s="15" t="s">
        <v>356</v>
      </c>
      <c r="G19" s="13">
        <v>6</v>
      </c>
      <c r="H19" s="14" t="s">
        <v>346</v>
      </c>
      <c r="I19" s="14">
        <v>13</v>
      </c>
      <c r="J19" s="15" t="s">
        <v>357</v>
      </c>
      <c r="K19" s="13">
        <v>13</v>
      </c>
      <c r="L19" s="14" t="s">
        <v>346</v>
      </c>
      <c r="M19" s="14">
        <v>5</v>
      </c>
      <c r="N19" s="15" t="s">
        <v>352</v>
      </c>
      <c r="O19" s="13">
        <v>4</v>
      </c>
      <c r="P19" s="14" t="s">
        <v>346</v>
      </c>
      <c r="Q19" s="14">
        <v>13</v>
      </c>
      <c r="R19" s="15" t="s">
        <v>354</v>
      </c>
      <c r="S19" s="13">
        <v>13</v>
      </c>
      <c r="T19" s="14" t="s">
        <v>346</v>
      </c>
      <c r="U19" s="14">
        <v>3</v>
      </c>
      <c r="V19" s="15" t="s">
        <v>358</v>
      </c>
      <c r="W19" s="28">
        <f t="shared" si="0"/>
        <v>2</v>
      </c>
      <c r="X19" s="29">
        <v>20</v>
      </c>
      <c r="Y19" s="29"/>
      <c r="Z19" s="13">
        <f t="shared" si="1"/>
        <v>47</v>
      </c>
      <c r="AA19" s="14" t="s">
        <v>346</v>
      </c>
      <c r="AB19" s="39">
        <f t="shared" si="2"/>
        <v>47</v>
      </c>
      <c r="AC19" s="40">
        <f t="shared" si="3"/>
        <v>0</v>
      </c>
      <c r="AD19" s="41">
        <f t="shared" si="13"/>
        <v>292</v>
      </c>
      <c r="AE19" s="42">
        <f>IFERROR(INDEX(V!$R:$R,MATCH(AF19,V!$L:$L,0)),"")</f>
        <v>146</v>
      </c>
      <c r="AF19" s="43" t="str">
        <f t="shared" si="5"/>
        <v>Meelis Luud</v>
      </c>
      <c r="AG19" s="42">
        <f>IFERROR(INDEX(V!$R:$R,MATCH(AH19,V!$L:$L,0)),"")</f>
        <v>146</v>
      </c>
      <c r="AH19" s="43" t="str">
        <f t="shared" si="6"/>
        <v>Sander Rose</v>
      </c>
      <c r="AI19" s="42" t="str">
        <f>IFERROR(INDEX(V!$R:$R,MATCH(AJ19,V!$L:$L,0)),"")</f>
        <v/>
      </c>
      <c r="AJ19" s="43" t="str">
        <f t="shared" si="7"/>
        <v/>
      </c>
      <c r="AK19" s="42" t="str">
        <f>IFERROR(INDEX(V!$R:$R,MATCH(AL19,V!$L:$L,0)),"")</f>
        <v/>
      </c>
      <c r="AL19" s="43" t="str">
        <f t="shared" si="8"/>
        <v/>
      </c>
      <c r="AM19" s="42" t="str">
        <f>IFERROR(INDEX(V!$R:$R,MATCH(AN19,V!$L:$L,0)),"")</f>
        <v/>
      </c>
      <c r="AN19" s="43" t="str">
        <f t="shared" si="9"/>
        <v/>
      </c>
      <c r="AO19" s="42" t="str">
        <f>IFERROR(INDEX(V!$R:$R,MATCH(AP19,V!$L:$L,0)),"")</f>
        <v/>
      </c>
      <c r="AP19" s="43" t="str">
        <f t="shared" si="10"/>
        <v/>
      </c>
    </row>
    <row r="20" spans="1:42">
      <c r="A20" s="11">
        <v>14</v>
      </c>
      <c r="B20" s="17" t="s">
        <v>361</v>
      </c>
      <c r="C20" s="13">
        <v>7</v>
      </c>
      <c r="D20" s="14" t="s">
        <v>346</v>
      </c>
      <c r="E20" s="14">
        <v>13</v>
      </c>
      <c r="F20" s="15" t="s">
        <v>353</v>
      </c>
      <c r="G20" s="13">
        <v>13</v>
      </c>
      <c r="H20" s="14" t="s">
        <v>346</v>
      </c>
      <c r="I20" s="14">
        <v>1</v>
      </c>
      <c r="J20" s="15" t="s">
        <v>352</v>
      </c>
      <c r="K20" s="13">
        <v>7</v>
      </c>
      <c r="L20" s="14" t="s">
        <v>346</v>
      </c>
      <c r="M20" s="14">
        <v>13</v>
      </c>
      <c r="N20" s="15" t="s">
        <v>356</v>
      </c>
      <c r="O20" s="13">
        <v>13</v>
      </c>
      <c r="P20" s="14" t="s">
        <v>346</v>
      </c>
      <c r="Q20" s="14">
        <v>12</v>
      </c>
      <c r="R20" s="15" t="s">
        <v>347</v>
      </c>
      <c r="S20" s="13">
        <v>1</v>
      </c>
      <c r="T20" s="14" t="s">
        <v>346</v>
      </c>
      <c r="U20" s="14">
        <v>13</v>
      </c>
      <c r="V20" s="15" t="s">
        <v>359</v>
      </c>
      <c r="W20" s="28">
        <f t="shared" ref="W20:W22" si="14">IF(C20&gt;E20,W$2,IF(C20&lt;E20,W$4,IF(ISNUMBER(C20),W$3,0)))+IF(G20&gt;I20,W$2,IF(G20&lt;I20,W$4,IF(ISNUMBER(G20),W$3,0)))+IF(K20&gt;M20,W$2,IF(K20&lt;M20,W$4,IF(ISNUMBER(K20),W$3,0)))+IF(O20&gt;Q20,W$2,IF(O20&lt;Q20,W$4,IF(ISNUMBER(O20),W$3,0)))+IF(S20&gt;U20,W$2,IF(S20&lt;U20,W$4,IF(ISNUMBER(S20),W$3,0)))</f>
        <v>2</v>
      </c>
      <c r="X20" s="29">
        <v>18</v>
      </c>
      <c r="Y20" s="29"/>
      <c r="Z20" s="13">
        <f t="shared" ref="Z20:Z22" si="15">C20+G20+K20+O20+S20</f>
        <v>41</v>
      </c>
      <c r="AA20" s="14" t="s">
        <v>346</v>
      </c>
      <c r="AB20" s="39">
        <f t="shared" ref="AB20:AB22" si="16">E20+I20+M20+Q20+U20</f>
        <v>52</v>
      </c>
      <c r="AC20" s="40">
        <f t="shared" ref="AC20:AC22" si="17">Z20-AB20</f>
        <v>-11</v>
      </c>
      <c r="AD20" s="41">
        <f t="shared" ref="AD20:AD22" si="18">SUM(AE20:AL20)</f>
        <v>52</v>
      </c>
      <c r="AE20" s="42">
        <f>IFERROR(INDEX(V!$R:$R,MATCH(AF20,V!$L:$L,0)),"")</f>
        <v>26</v>
      </c>
      <c r="AF20" s="43" t="str">
        <f t="shared" si="5"/>
        <v>Heili Vasser</v>
      </c>
      <c r="AG20" s="42">
        <f>IFERROR(INDEX(V!$R:$R,MATCH(AH20,V!$L:$L,0)),"")</f>
        <v>26</v>
      </c>
      <c r="AH20" s="43" t="str">
        <f t="shared" si="6"/>
        <v>Vello Vasser</v>
      </c>
      <c r="AI20" s="42" t="str">
        <f>IFERROR(INDEX(V!$R:$R,MATCH(AJ20,V!$L:$L,0)),"")</f>
        <v/>
      </c>
      <c r="AJ20" s="43" t="str">
        <f t="shared" si="7"/>
        <v/>
      </c>
      <c r="AK20" s="42" t="str">
        <f>IFERROR(INDEX(V!$R:$R,MATCH(AL20,V!$L:$L,0)),"")</f>
        <v/>
      </c>
      <c r="AL20" s="43" t="str">
        <f t="shared" si="8"/>
        <v/>
      </c>
      <c r="AM20" s="42" t="str">
        <f>IFERROR(INDEX(V!$R:$R,MATCH(AN20,V!$L:$L,0)),"")</f>
        <v/>
      </c>
      <c r="AN20" s="43" t="str">
        <f t="shared" si="9"/>
        <v/>
      </c>
      <c r="AO20" s="42" t="str">
        <f>IFERROR(INDEX(V!$R:$R,MATCH(AP20,V!$L:$L,0)),"")</f>
        <v/>
      </c>
      <c r="AP20" s="43" t="str">
        <f t="shared" si="10"/>
        <v/>
      </c>
    </row>
    <row r="21" spans="1:42">
      <c r="A21" s="11">
        <v>15</v>
      </c>
      <c r="B21" s="17" t="s">
        <v>358</v>
      </c>
      <c r="C21" s="13">
        <v>6</v>
      </c>
      <c r="D21" s="14" t="s">
        <v>346</v>
      </c>
      <c r="E21" s="14">
        <v>8</v>
      </c>
      <c r="F21" s="15" t="s">
        <v>351</v>
      </c>
      <c r="G21" s="13">
        <v>7</v>
      </c>
      <c r="H21" s="14" t="s">
        <v>346</v>
      </c>
      <c r="I21" s="14">
        <v>13</v>
      </c>
      <c r="J21" s="15" t="s">
        <v>355</v>
      </c>
      <c r="K21" s="13">
        <v>7</v>
      </c>
      <c r="L21" s="14" t="s">
        <v>346</v>
      </c>
      <c r="M21" s="14">
        <v>13</v>
      </c>
      <c r="N21" s="15" t="s">
        <v>347</v>
      </c>
      <c r="O21" s="13">
        <v>13</v>
      </c>
      <c r="P21" s="14" t="s">
        <v>346</v>
      </c>
      <c r="Q21" s="14">
        <v>9</v>
      </c>
      <c r="R21" s="15" t="s">
        <v>352</v>
      </c>
      <c r="S21" s="13">
        <v>3</v>
      </c>
      <c r="T21" s="14" t="s">
        <v>346</v>
      </c>
      <c r="U21" s="14">
        <v>13</v>
      </c>
      <c r="V21" s="15" t="s">
        <v>360</v>
      </c>
      <c r="W21" s="28">
        <f t="shared" si="14"/>
        <v>1</v>
      </c>
      <c r="X21" s="29">
        <v>18</v>
      </c>
      <c r="Y21" s="29"/>
      <c r="Z21" s="13">
        <f t="shared" si="15"/>
        <v>36</v>
      </c>
      <c r="AA21" s="14" t="s">
        <v>346</v>
      </c>
      <c r="AB21" s="39">
        <f t="shared" si="16"/>
        <v>56</v>
      </c>
      <c r="AC21" s="40">
        <f t="shared" si="17"/>
        <v>-20</v>
      </c>
      <c r="AD21" s="41">
        <f t="shared" si="18"/>
        <v>36</v>
      </c>
      <c r="AE21" s="42">
        <f>IFERROR(INDEX(V!$R:$R,MATCH(AF21,V!$L:$L,0)),"")</f>
        <v>34</v>
      </c>
      <c r="AF21" s="43" t="str">
        <f t="shared" si="5"/>
        <v>Boriss Klubov</v>
      </c>
      <c r="AG21" s="42">
        <f>IFERROR(INDEX(V!$R:$R,MATCH(AH21,V!$L:$L,0)),"")</f>
        <v>2</v>
      </c>
      <c r="AH21" s="43" t="str">
        <f t="shared" si="6"/>
        <v>Jüri Mitt</v>
      </c>
      <c r="AI21" s="42" t="str">
        <f>IFERROR(INDEX(V!$R:$R,MATCH(AJ21,V!$L:$L,0)),"")</f>
        <v/>
      </c>
      <c r="AJ21" s="43" t="str">
        <f t="shared" si="7"/>
        <v/>
      </c>
      <c r="AK21" s="42" t="str">
        <f>IFERROR(INDEX(V!$R:$R,MATCH(AL21,V!$L:$L,0)),"")</f>
        <v/>
      </c>
      <c r="AL21" s="43" t="str">
        <f t="shared" si="8"/>
        <v/>
      </c>
      <c r="AM21" s="42" t="str">
        <f>IFERROR(INDEX(V!$R:$R,MATCH(AN21,V!$L:$L,0)),"")</f>
        <v/>
      </c>
      <c r="AN21" s="43" t="str">
        <f t="shared" si="9"/>
        <v/>
      </c>
      <c r="AO21" s="42" t="str">
        <f>IFERROR(INDEX(V!$R:$R,MATCH(AP21,V!$L:$L,0)),"")</f>
        <v/>
      </c>
      <c r="AP21" s="43" t="str">
        <f t="shared" si="10"/>
        <v/>
      </c>
    </row>
    <row r="22" spans="1:42">
      <c r="A22" s="11">
        <v>16</v>
      </c>
      <c r="B22" s="17" t="s">
        <v>352</v>
      </c>
      <c r="C22" s="13">
        <v>3</v>
      </c>
      <c r="D22" s="14" t="s">
        <v>346</v>
      </c>
      <c r="E22" s="14">
        <v>13</v>
      </c>
      <c r="F22" s="15" t="s">
        <v>350</v>
      </c>
      <c r="G22" s="13">
        <v>1</v>
      </c>
      <c r="H22" s="14" t="s">
        <v>346</v>
      </c>
      <c r="I22" s="14">
        <v>13</v>
      </c>
      <c r="J22" s="15" t="s">
        <v>361</v>
      </c>
      <c r="K22" s="13">
        <v>5</v>
      </c>
      <c r="L22" s="14" t="s">
        <v>346</v>
      </c>
      <c r="M22" s="14">
        <v>13</v>
      </c>
      <c r="N22" s="15" t="s">
        <v>360</v>
      </c>
      <c r="O22" s="13">
        <v>9</v>
      </c>
      <c r="P22" s="14" t="s">
        <v>346</v>
      </c>
      <c r="Q22" s="14">
        <v>13</v>
      </c>
      <c r="R22" s="15" t="s">
        <v>358</v>
      </c>
      <c r="S22" s="13">
        <v>2</v>
      </c>
      <c r="T22" s="14" t="s">
        <v>346</v>
      </c>
      <c r="U22" s="14">
        <v>13</v>
      </c>
      <c r="V22" s="15" t="s">
        <v>347</v>
      </c>
      <c r="W22" s="28">
        <f t="shared" si="14"/>
        <v>0</v>
      </c>
      <c r="X22" s="29">
        <v>22</v>
      </c>
      <c r="Y22" s="29"/>
      <c r="Z22" s="13">
        <f t="shared" si="15"/>
        <v>20</v>
      </c>
      <c r="AA22" s="14" t="s">
        <v>346</v>
      </c>
      <c r="AB22" s="39">
        <f t="shared" si="16"/>
        <v>65</v>
      </c>
      <c r="AC22" s="40">
        <f t="shared" si="17"/>
        <v>-45</v>
      </c>
      <c r="AD22" s="41">
        <f t="shared" si="18"/>
        <v>98</v>
      </c>
      <c r="AE22" s="42">
        <f>IFERROR(INDEX(V!$R:$R,MATCH(AF22,V!$L:$L,0)),"")</f>
        <v>0</v>
      </c>
      <c r="AF22" s="43" t="str">
        <f t="shared" si="5"/>
        <v>Berit Kuusmann</v>
      </c>
      <c r="AG22" s="42">
        <f>IFERROR(INDEX(V!$R:$R,MATCH(AH22,V!$L:$L,0)),"")</f>
        <v>98</v>
      </c>
      <c r="AH22" s="43" t="str">
        <f t="shared" si="6"/>
        <v>Marko Rooden</v>
      </c>
      <c r="AI22" s="42" t="str">
        <f>IFERROR(INDEX(V!$R:$R,MATCH(AJ22,V!$L:$L,0)),"")</f>
        <v/>
      </c>
      <c r="AJ22" s="43" t="str">
        <f t="shared" si="7"/>
        <v/>
      </c>
      <c r="AK22" s="42" t="str">
        <f>IFERROR(INDEX(V!$R:$R,MATCH(AL22,V!$L:$L,0)),"")</f>
        <v/>
      </c>
      <c r="AL22" s="43" t="str">
        <f t="shared" si="8"/>
        <v/>
      </c>
      <c r="AM22" s="42" t="str">
        <f>IFERROR(INDEX(V!$R:$R,MATCH(AN22,V!$L:$L,0)),"")</f>
        <v/>
      </c>
      <c r="AN22" s="43" t="str">
        <f t="shared" si="9"/>
        <v/>
      </c>
      <c r="AO22" s="42" t="str">
        <f>IFERROR(INDEX(V!$R:$R,MATCH(AP22,V!$L:$L,0)),"")</f>
        <v/>
      </c>
      <c r="AP22" s="43" t="str">
        <f t="shared" si="10"/>
        <v/>
      </c>
    </row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  <row r="35" hidden="1"/>
    <row r="36" hidden="1"/>
    <row r="37" hidden="1"/>
    <row r="38" hidden="1"/>
    <row r="39" hidden="1"/>
    <row r="40" hidden="1"/>
    <row r="41" hidden="1"/>
    <row r="42" hidden="1"/>
    <row r="43" hidden="1"/>
    <row r="44" hidden="1"/>
    <row r="45" hidden="1"/>
    <row r="46" hidden="1"/>
    <row r="47" hidden="1"/>
    <row r="48" hidden="1"/>
    <row r="49" hidden="1"/>
    <row r="50" hidden="1"/>
    <row r="51" hidden="1"/>
    <row r="52" hidden="1"/>
    <row r="53" hidden="1"/>
    <row r="54" hidden="1"/>
    <row r="55" hidden="1"/>
    <row r="56" hidden="1"/>
    <row r="57" hidden="1"/>
    <row r="58" hidden="1"/>
    <row r="59" hidden="1"/>
    <row r="60" hidden="1"/>
    <row r="61" hidden="1"/>
    <row r="62" hidden="1"/>
    <row r="63" hidden="1"/>
    <row r="64" hidden="1"/>
    <row r="65" hidden="1"/>
    <row r="66" hidden="1"/>
    <row r="67" hidden="1"/>
    <row r="68" hidden="1"/>
    <row r="69" hidden="1"/>
    <row r="70" hidden="1"/>
    <row r="71" hidden="1"/>
    <row r="72" hidden="1"/>
    <row r="73" hidden="1"/>
    <row r="74" hidden="1"/>
    <row r="75" hidden="1"/>
    <row r="76" hidden="1"/>
    <row r="77" hidden="1"/>
    <row r="78" hidden="1"/>
    <row r="79" hidden="1"/>
    <row r="80" hidden="1"/>
    <row r="81" hidden="1"/>
    <row r="82" hidden="1"/>
    <row r="83" hidden="1"/>
    <row r="84" hidden="1"/>
    <row r="85" hidden="1"/>
    <row r="86" hidden="1"/>
    <row r="87" hidden="1"/>
    <row r="88" hidden="1"/>
    <row r="89" hidden="1"/>
    <row r="90" hidden="1"/>
    <row r="91" hidden="1"/>
    <row r="92" hidden="1"/>
    <row r="93" hidden="1"/>
    <row r="94" hidden="1"/>
    <row r="95" hidden="1"/>
    <row r="96" hidden="1"/>
    <row r="97" hidden="1"/>
    <row r="98" hidden="1"/>
    <row r="99" hidden="1"/>
    <row r="100" hidden="1"/>
    <row r="101" hidden="1"/>
    <row r="102" hidden="1"/>
    <row r="103" hidden="1"/>
    <row r="104" hidden="1"/>
    <row r="105" hidden="1"/>
    <row r="106" hidden="1"/>
    <row r="107" hidden="1"/>
    <row r="108" hidden="1"/>
    <row r="109" hidden="1"/>
    <row r="110" hidden="1"/>
    <row r="111" hidden="1"/>
    <row r="112" hidden="1"/>
    <row r="113" hidden="1"/>
    <row r="114" hidden="1"/>
    <row r="115" hidden="1"/>
    <row r="116" hidden="1"/>
    <row r="117" hidden="1"/>
    <row r="118" hidden="1"/>
    <row r="119" hidden="1"/>
    <row r="120" hidden="1"/>
    <row r="121" hidden="1"/>
    <row r="122" hidden="1"/>
    <row r="123" hidden="1"/>
    <row r="124" hidden="1"/>
    <row r="125" hidden="1"/>
    <row r="126" hidden="1"/>
    <row r="127" hidden="1"/>
    <row r="128" hidden="1"/>
    <row r="129" hidden="1"/>
    <row r="130" hidden="1"/>
    <row r="131" hidden="1"/>
    <row r="132" hidden="1"/>
    <row r="133" hidden="1"/>
    <row r="134" hidden="1"/>
    <row r="135" hidden="1"/>
    <row r="136" hidden="1"/>
    <row r="137" hidden="1"/>
    <row r="138" hidden="1"/>
    <row r="139" hidden="1"/>
    <row r="140" hidden="1"/>
    <row r="141" hidden="1"/>
    <row r="142" hidden="1"/>
    <row r="143" hidden="1"/>
    <row r="144" hidden="1"/>
    <row r="145" hidden="1"/>
    <row r="146" hidden="1"/>
    <row r="147" hidden="1"/>
    <row r="148" hidden="1"/>
    <row r="149" hidden="1"/>
    <row r="150" hidden="1"/>
    <row r="151" hidden="1"/>
    <row r="152" hidden="1"/>
    <row r="153" hidden="1"/>
    <row r="154" hidden="1"/>
    <row r="155" hidden="1"/>
    <row r="156" hidden="1"/>
    <row r="157" hidden="1"/>
    <row r="158" hidden="1"/>
    <row r="159" hidden="1"/>
    <row r="160" hidden="1"/>
    <row r="161" hidden="1"/>
    <row r="162" hidden="1"/>
    <row r="163" hidden="1"/>
    <row r="164" hidden="1"/>
    <row r="165" hidden="1"/>
    <row r="166" hidden="1"/>
    <row r="167" hidden="1"/>
    <row r="168" hidden="1"/>
    <row r="169" hidden="1"/>
    <row r="170" hidden="1"/>
    <row r="171" hidden="1"/>
    <row r="172" hidden="1"/>
    <row r="173" hidden="1"/>
    <row r="174" hidden="1"/>
    <row r="175" hidden="1"/>
    <row r="176" hidden="1"/>
    <row r="177" hidden="1"/>
    <row r="178" hidden="1"/>
    <row r="179" hidden="1"/>
    <row r="180" hidden="1"/>
    <row r="181" hidden="1"/>
    <row r="182" hidden="1"/>
    <row r="183" hidden="1"/>
    <row r="184" hidden="1"/>
    <row r="185" hidden="1"/>
    <row r="186" hidden="1"/>
    <row r="187" hidden="1"/>
    <row r="188" hidden="1"/>
    <row r="189" hidden="1"/>
    <row r="190" hidden="1"/>
    <row r="191" hidden="1"/>
    <row r="192" hidden="1"/>
    <row r="193" hidden="1"/>
    <row r="194" hidden="1"/>
    <row r="195" hidden="1"/>
    <row r="196" hidden="1"/>
    <row r="197" hidden="1"/>
    <row r="198" hidden="1"/>
    <row r="199" hidden="1"/>
    <row r="200" hidden="1"/>
    <row r="201" hidden="1"/>
    <row r="202" hidden="1"/>
    <row r="203" hidden="1"/>
    <row r="204" hidden="1"/>
    <row r="205" hidden="1"/>
    <row r="206" hidden="1"/>
    <row r="207" hidden="1"/>
    <row r="208" hidden="1"/>
    <row r="209" hidden="1"/>
    <row r="210" hidden="1"/>
    <row r="211" hidden="1"/>
    <row r="212" hidden="1"/>
    <row r="213" hidden="1"/>
    <row r="214" hidden="1"/>
    <row r="215" hidden="1"/>
    <row r="216" hidden="1"/>
    <row r="217" hidden="1"/>
    <row r="218" hidden="1"/>
    <row r="219" hidden="1"/>
    <row r="220" hidden="1"/>
    <row r="221" hidden="1"/>
    <row r="222" hidden="1"/>
    <row r="223" hidden="1"/>
    <row r="224" hidden="1"/>
    <row r="225" hidden="1"/>
    <row r="226" hidden="1"/>
    <row r="227" hidden="1"/>
    <row r="228" hidden="1"/>
    <row r="229" hidden="1"/>
    <row r="230" hidden="1"/>
    <row r="231" hidden="1"/>
    <row r="232" hidden="1"/>
    <row r="233" hidden="1"/>
    <row r="234" hidden="1"/>
    <row r="235" hidden="1"/>
    <row r="236" hidden="1"/>
    <row r="237" hidden="1"/>
    <row r="238" hidden="1"/>
    <row r="239" hidden="1"/>
    <row r="240" hidden="1"/>
    <row r="241" hidden="1"/>
    <row r="242" hidden="1"/>
    <row r="243" hidden="1"/>
    <row r="244" hidden="1"/>
    <row r="245" hidden="1"/>
    <row r="246" hidden="1"/>
    <row r="247" hidden="1"/>
    <row r="248" hidden="1"/>
    <row r="249" hidden="1"/>
    <row r="250" hidden="1"/>
    <row r="251" hidden="1"/>
    <row r="252" hidden="1"/>
    <row r="253" hidden="1"/>
    <row r="254" hidden="1"/>
    <row r="255" hidden="1"/>
    <row r="256" hidden="1"/>
    <row r="257" hidden="1"/>
    <row r="258" hidden="1"/>
    <row r="259" hidden="1"/>
    <row r="260" hidden="1"/>
    <row r="261" hidden="1"/>
    <row r="262" hidden="1"/>
    <row r="263" hidden="1"/>
    <row r="264" hidden="1"/>
    <row r="265" hidden="1"/>
    <row r="266" hidden="1"/>
    <row r="267" hidden="1"/>
    <row r="268" hidden="1"/>
    <row r="269" hidden="1"/>
    <row r="270" hidden="1"/>
    <row r="271" hidden="1"/>
    <row r="272" hidden="1"/>
    <row r="273" hidden="1"/>
    <row r="274" hidden="1"/>
    <row r="275" hidden="1"/>
    <row r="276" hidden="1"/>
    <row r="277" hidden="1"/>
    <row r="278" hidden="1"/>
    <row r="279" hidden="1"/>
    <row r="280" hidden="1"/>
    <row r="281" hidden="1"/>
    <row r="282" hidden="1"/>
    <row r="283" hidden="1"/>
    <row r="284" hidden="1"/>
    <row r="285" hidden="1"/>
    <row r="286" hidden="1"/>
    <row r="287" hidden="1"/>
    <row r="288" hidden="1"/>
    <row r="289" hidden="1"/>
    <row r="290" hidden="1"/>
    <row r="291" hidden="1"/>
    <row r="292" hidden="1"/>
    <row r="293" hidden="1"/>
    <row r="294" hidden="1"/>
    <row r="295" hidden="1"/>
    <row r="296" hidden="1"/>
    <row r="297" hidden="1"/>
    <row r="298" hidden="1"/>
    <row r="299" hidden="1" spans="1:6">
      <c r="A299" s="6"/>
      <c r="B299" s="6"/>
      <c r="C299" s="49"/>
      <c r="F299" s="50"/>
    </row>
    <row r="300" spans="1:6">
      <c r="A300" s="51">
        <v>1</v>
      </c>
      <c r="B300" s="52" t="str">
        <f t="shared" ref="B300:B312" si="19">IFERROR(INDEX(B$1:B$95,MATCH(A300,A$1:A$95,0)),"")</f>
        <v>Aarne Välja, Janek Tarto</v>
      </c>
      <c r="C300" s="53"/>
      <c r="F300" s="50"/>
    </row>
    <row r="301" spans="1:6">
      <c r="A301" s="51">
        <v>2</v>
      </c>
      <c r="B301" s="52" t="str">
        <f t="shared" si="19"/>
        <v>Jaan Sepp, Matti Vinni</v>
      </c>
      <c r="C301" s="53"/>
      <c r="F301" s="50"/>
    </row>
    <row r="302" spans="1:6">
      <c r="A302" s="51">
        <v>3</v>
      </c>
      <c r="B302" s="52" t="str">
        <f t="shared" si="19"/>
        <v>Olav Türk, Sirje Maala</v>
      </c>
      <c r="C302" s="53"/>
      <c r="F302" s="50"/>
    </row>
    <row r="303" spans="1:6">
      <c r="A303" s="51">
        <v>4</v>
      </c>
      <c r="B303" s="52" t="str">
        <f t="shared" si="19"/>
        <v>Andres Veski, Svetlana Veski</v>
      </c>
      <c r="C303" s="53"/>
      <c r="F303" s="50"/>
    </row>
    <row r="304" spans="1:6">
      <c r="A304" s="51">
        <v>5</v>
      </c>
      <c r="B304" s="52" t="str">
        <f t="shared" si="19"/>
        <v>Ivar Viljaste, Sirje Viljaste</v>
      </c>
      <c r="C304" s="53"/>
      <c r="F304" s="50"/>
    </row>
    <row r="305" spans="1:6">
      <c r="A305" s="51">
        <v>6</v>
      </c>
      <c r="B305" s="52" t="str">
        <f t="shared" si="19"/>
        <v>Lageda/Grintšak</v>
      </c>
      <c r="C305" s="53"/>
      <c r="F305" s="50"/>
    </row>
    <row r="306" spans="1:6">
      <c r="A306" s="51">
        <v>7</v>
      </c>
      <c r="B306" s="52" t="str">
        <f t="shared" si="19"/>
        <v>Ljudmila Varendi, Viktor Švarõgin</v>
      </c>
      <c r="C306" s="53"/>
      <c r="F306" s="50"/>
    </row>
    <row r="307" spans="1:6">
      <c r="A307" s="51">
        <v>8</v>
      </c>
      <c r="B307" s="52" t="str">
        <f t="shared" si="19"/>
        <v>Lemmit Toomra, Tõnu Kapper</v>
      </c>
      <c r="C307" s="53"/>
      <c r="F307" s="50"/>
    </row>
    <row r="308" spans="1:6">
      <c r="A308" s="51">
        <v>9</v>
      </c>
      <c r="B308" s="52" t="str">
        <f t="shared" si="19"/>
        <v>Jaan Saar, Liidia Põllu</v>
      </c>
      <c r="C308" s="53"/>
      <c r="F308" s="50"/>
    </row>
    <row r="309" spans="1:3">
      <c r="A309" s="51">
        <v>10</v>
      </c>
      <c r="B309" s="52" t="str">
        <f t="shared" si="19"/>
        <v>Hillar Neiland, Kaspar Mänd</v>
      </c>
      <c r="C309" s="53"/>
    </row>
    <row r="310" spans="1:3">
      <c r="A310" s="51">
        <v>11</v>
      </c>
      <c r="B310" s="52" t="str">
        <f t="shared" si="19"/>
        <v>Kristel Tihhonjuk, Vadim Tihhonjuk</v>
      </c>
      <c r="C310" s="53"/>
    </row>
    <row r="311" spans="1:3">
      <c r="A311" s="51">
        <v>12</v>
      </c>
      <c r="B311" s="52" t="str">
        <f t="shared" si="19"/>
        <v>Johannes Neiland, Urmas Randlaine</v>
      </c>
      <c r="C311" s="53"/>
    </row>
    <row r="312" spans="1:3">
      <c r="A312" s="51">
        <v>13</v>
      </c>
      <c r="B312" s="52" t="str">
        <f t="shared" si="19"/>
        <v>Meelis Luud, Sander Rose</v>
      </c>
      <c r="C312" s="53"/>
    </row>
    <row r="313" spans="1:3">
      <c r="A313" s="51">
        <v>14</v>
      </c>
      <c r="B313" s="52" t="str">
        <f t="shared" ref="B313" si="20">IFERROR(INDEX(B$1:B$95,MATCH(A313,A$1:A$95,0)),"")</f>
        <v>Heili Vasser, Vello Vasser</v>
      </c>
      <c r="C313" s="53"/>
    </row>
  </sheetData>
  <conditionalFormatting sqref="A7:A22">
    <cfRule type="duplicateValues" dxfId="17" priority="33"/>
  </conditionalFormatting>
  <conditionalFormatting sqref="B300:B313">
    <cfRule type="expression" dxfId="3" priority="39">
      <formula>A300=3</formula>
    </cfRule>
    <cfRule type="expression" dxfId="4" priority="40">
      <formula>A300=2</formula>
    </cfRule>
    <cfRule type="expression" dxfId="18" priority="41">
      <formula>A300=1</formula>
    </cfRule>
    <cfRule type="containsBlanks" dxfId="19" priority="42">
      <formula>LEN(TRIM(B300))=0</formula>
    </cfRule>
    <cfRule type="duplicateValues" dxfId="8" priority="43"/>
  </conditionalFormatting>
  <conditionalFormatting sqref="C7:C22">
    <cfRule type="expression" dxfId="20" priority="15">
      <formula>IF($C7&gt;$E7,TRUE)</formula>
    </cfRule>
  </conditionalFormatting>
  <conditionalFormatting sqref="E7:E22">
    <cfRule type="expression" dxfId="20" priority="16">
      <formula>IF($C7&lt;$E7,TRUE)</formula>
    </cfRule>
  </conditionalFormatting>
  <conditionalFormatting sqref="F7:F22">
    <cfRule type="containsText" dxfId="21" priority="6" operator="between" text="vaba voor">
      <formula>NOT(ISERROR(SEARCH("vaba voor",F7)))</formula>
    </cfRule>
  </conditionalFormatting>
  <conditionalFormatting sqref="G7:G22">
    <cfRule type="expression" dxfId="20" priority="19">
      <formula>IF($G7&gt;$I7,TRUE)</formula>
    </cfRule>
  </conditionalFormatting>
  <conditionalFormatting sqref="I7:I22">
    <cfRule type="expression" dxfId="20" priority="20">
      <formula>IF($G7&lt;$I7,TRUE)</formula>
    </cfRule>
  </conditionalFormatting>
  <conditionalFormatting sqref="J7:J22">
    <cfRule type="containsText" dxfId="21" priority="5" operator="between" text="vaba voor">
      <formula>NOT(ISERROR(SEARCH("vaba voor",J7)))</formula>
    </cfRule>
  </conditionalFormatting>
  <conditionalFormatting sqref="K7:K22">
    <cfRule type="expression" dxfId="20" priority="23">
      <formula>IF($K7&gt;$M7,TRUE)</formula>
    </cfRule>
  </conditionalFormatting>
  <conditionalFormatting sqref="M7:M22">
    <cfRule type="expression" dxfId="20" priority="24">
      <formula>IF($K7&lt;$M7,TRUE)</formula>
    </cfRule>
  </conditionalFormatting>
  <conditionalFormatting sqref="N7:N22">
    <cfRule type="containsText" dxfId="21" priority="4" operator="between" text="vaba voor">
      <formula>NOT(ISERROR(SEARCH("vaba voor",N7)))</formula>
    </cfRule>
  </conditionalFormatting>
  <conditionalFormatting sqref="O7:O22">
    <cfRule type="expression" dxfId="20" priority="27">
      <formula>IF($O7&gt;$Q7,TRUE)</formula>
    </cfRule>
  </conditionalFormatting>
  <conditionalFormatting sqref="Q7:Q22">
    <cfRule type="expression" dxfId="20" priority="28">
      <formula>IF($O7&lt;$Q7,TRUE)</formula>
    </cfRule>
  </conditionalFormatting>
  <conditionalFormatting sqref="R7:R22">
    <cfRule type="containsText" dxfId="21" priority="7" operator="between" text="vaba voor">
      <formula>NOT(ISERROR(SEARCH("vaba voor",R7)))</formula>
    </cfRule>
  </conditionalFormatting>
  <conditionalFormatting sqref="S7:S22">
    <cfRule type="expression" dxfId="20" priority="31">
      <formula>IF($S7&gt;$U7,TRUE)</formula>
    </cfRule>
  </conditionalFormatting>
  <conditionalFormatting sqref="U7:U22">
    <cfRule type="expression" dxfId="20" priority="32">
      <formula>IF($S7&lt;$U7,TRUE)</formula>
    </cfRule>
  </conditionalFormatting>
  <conditionalFormatting sqref="V7:V22">
    <cfRule type="containsText" dxfId="21" priority="3" operator="between" text="vaba voor">
      <formula>NOT(ISERROR(SEARCH("vaba voor",V7)))</formula>
    </cfRule>
  </conditionalFormatting>
  <conditionalFormatting sqref="AF7:AF22">
    <cfRule type="expression" dxfId="22" priority="37">
      <formula>AND(AE7="",COUNTIF(AF7,"*,*")=0)</formula>
    </cfRule>
  </conditionalFormatting>
  <conditionalFormatting sqref="C7:F22">
    <cfRule type="expression" dxfId="5" priority="11">
      <formula>IF(AND(ISNUMBER($C7),$C7=$E7),TRUE)</formula>
    </cfRule>
    <cfRule type="expression" dxfId="7" priority="13">
      <formula>IF($C7&gt;$E7,TRUE)</formula>
    </cfRule>
    <cfRule type="expression" dxfId="23" priority="14">
      <formula>IF($C7&lt;$E7,TRUE)</formula>
    </cfRule>
  </conditionalFormatting>
  <conditionalFormatting sqref="C7:C22;G7:G22;K7:K22;O7:O22;S7:S22">
    <cfRule type="expression" dxfId="24" priority="1">
      <formula>AND(C7=0,E7=13)</formula>
    </cfRule>
  </conditionalFormatting>
  <conditionalFormatting sqref="E7:E22;I7:I22;M7:M22;Q7:Q22;U7:U22">
    <cfRule type="expression" dxfId="24" priority="2">
      <formula>AND(E7=0,C7=13)</formula>
    </cfRule>
  </conditionalFormatting>
  <conditionalFormatting sqref="G7:J22">
    <cfRule type="expression" dxfId="5" priority="12">
      <formula>IF(AND(ISNUMBER($G7),$G7=$I7),TRUE)</formula>
    </cfRule>
    <cfRule type="expression" dxfId="7" priority="17">
      <formula>IF($G7&gt;$I7,TRUE)</formula>
    </cfRule>
    <cfRule type="expression" dxfId="23" priority="18">
      <formula>IF($G7&lt;$I7,TRUE)</formula>
    </cfRule>
  </conditionalFormatting>
  <conditionalFormatting sqref="K7:N22">
    <cfRule type="expression" dxfId="5" priority="10">
      <formula>IF(AND(ISNUMBER($K7),$K7=$M7),TRUE)</formula>
    </cfRule>
    <cfRule type="expression" dxfId="7" priority="21">
      <formula>IF($K7&gt;$M7,TRUE)</formula>
    </cfRule>
    <cfRule type="expression" dxfId="23" priority="22">
      <formula>IF($K7&lt;$M7,TRUE)</formula>
    </cfRule>
  </conditionalFormatting>
  <conditionalFormatting sqref="O7:R22">
    <cfRule type="expression" dxfId="5" priority="9">
      <formula>IF(AND(ISNUMBER($O7),$O7=$Q7),TRUE)</formula>
    </cfRule>
    <cfRule type="expression" dxfId="7" priority="25">
      <formula>IF($O7&gt;$Q7,TRUE)</formula>
    </cfRule>
    <cfRule type="expression" dxfId="23" priority="26">
      <formula>IF($O7&lt;$Q7,TRUE)</formula>
    </cfRule>
  </conditionalFormatting>
  <conditionalFormatting sqref="S7:V22">
    <cfRule type="expression" dxfId="5" priority="8">
      <formula>IF(AND(ISNUMBER($S7),$S7=$U7),TRUE)</formula>
    </cfRule>
    <cfRule type="expression" dxfId="7" priority="29">
      <formula>IF($S7&gt;$U7,TRUE)</formula>
    </cfRule>
    <cfRule type="expression" dxfId="23" priority="30">
      <formula>IF($S7&lt;$U7,TRUE)</formula>
    </cfRule>
  </conditionalFormatting>
  <conditionalFormatting sqref="AJ7:AJ22;AH7:AH22;AL7:AL22">
    <cfRule type="expression" dxfId="25" priority="36">
      <formula>AND(AG7="",FIND(",",AH7))</formula>
    </cfRule>
    <cfRule type="expression" dxfId="22" priority="38">
      <formula>AND(AG7="",COUNTIF(AH7,"*,*")=0)</formula>
    </cfRule>
  </conditionalFormatting>
  <conditionalFormatting sqref="AN7:AN22;AP7:AP22">
    <cfRule type="expression" dxfId="22" priority="34">
      <formula>AND(AM7="",COUNTIF(AN7,"*,*")=0)</formula>
    </cfRule>
    <cfRule type="expression" dxfId="25" priority="35">
      <formula>AND(AM7="",FIND(",",AN7))</formula>
    </cfRule>
  </conditionalFormatting>
  <pageMargins left="0.393700787401575" right="0.393700787401575" top="0.78740157480315" bottom="0.393700787401575" header="0.78740157480315" footer="0"/>
  <pageSetup paperSize="9" fitToHeight="0" orientation="landscape" verticalDpi="1200"/>
  <headerFooter>
    <oddHeader>&amp;R&amp;P. leht &amp;N&amp; -st</oddHead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CCFFCC"/>
    <pageSetUpPr fitToPage="1"/>
  </sheetPr>
  <dimension ref="A1:AP308"/>
  <sheetViews>
    <sheetView showGridLines="0" showRowColHeaders="0" workbookViewId="0">
      <pane ySplit="1" topLeftCell="A2" activePane="bottomLeft" state="frozen"/>
      <selection/>
      <selection pane="bottomLeft" activeCell="A5" sqref="A5"/>
    </sheetView>
  </sheetViews>
  <sheetFormatPr defaultColWidth="9" defaultRowHeight="12.3"/>
  <cols>
    <col min="1" max="1" width="3.28828828828829" style="3" customWidth="1"/>
    <col min="2" max="2" width="28.4684684684685" style="3" customWidth="1"/>
    <col min="3" max="3" width="4.71171171171171" style="3" customWidth="1"/>
    <col min="4" max="4" width="1.14414414414414" style="3" customWidth="1"/>
    <col min="5" max="5" width="2.71171171171171" style="3" customWidth="1"/>
    <col min="6" max="6" width="9.14414414414414" style="3"/>
    <col min="7" max="7" width="2.71171171171171" style="3" customWidth="1"/>
    <col min="8" max="8" width="1.14414414414414" style="3" customWidth="1"/>
    <col min="9" max="9" width="2.71171171171171" style="3" customWidth="1"/>
    <col min="10" max="10" width="9.14414414414414" style="3"/>
    <col min="11" max="11" width="2.71171171171171" style="3" customWidth="1"/>
    <col min="12" max="12" width="1.14414414414414" style="3" customWidth="1"/>
    <col min="13" max="13" width="2.71171171171171" style="3" customWidth="1"/>
    <col min="14" max="14" width="9.14414414414414" style="3"/>
    <col min="15" max="15" width="2.71171171171171" style="3" customWidth="1"/>
    <col min="16" max="16" width="1.14414414414414" style="3" customWidth="1"/>
    <col min="17" max="17" width="2.71171171171171" style="3" customWidth="1"/>
    <col min="18" max="18" width="9.14414414414414" style="3"/>
    <col min="19" max="19" width="2.71171171171171" style="3" hidden="1" customWidth="1"/>
    <col min="20" max="20" width="1.14414414414414" style="3" hidden="1" customWidth="1"/>
    <col min="21" max="21" width="2.71171171171171" style="3" hidden="1" customWidth="1"/>
    <col min="22" max="22" width="9" style="3" hidden="1" customWidth="1"/>
    <col min="23" max="23" width="5.71171171171171" style="3" customWidth="1"/>
    <col min="24" max="24" width="5.56756756756757" style="3" customWidth="1"/>
    <col min="25" max="25" width="7.42342342342342" style="3" hidden="1" customWidth="1"/>
    <col min="26" max="26" width="2.71171171171171" style="3" customWidth="1"/>
    <col min="27" max="27" width="1.14414414414414" style="3" customWidth="1"/>
    <col min="28" max="28" width="2.71171171171171" style="3" customWidth="1"/>
    <col min="29" max="29" width="4.71171171171171" style="3" customWidth="1"/>
    <col min="30" max="31" width="9.14414414414414" style="3" hidden="1" customWidth="1"/>
    <col min="32" max="32" width="16.7027027027027" style="3" hidden="1" customWidth="1"/>
    <col min="33" max="33" width="9.14414414414414" style="3" hidden="1" customWidth="1"/>
    <col min="34" max="34" width="15.6126126126126" style="3" hidden="1" customWidth="1"/>
    <col min="35" max="35" width="9.14414414414414" style="3" hidden="1" customWidth="1"/>
    <col min="36" max="36" width="17.2882882882883" style="3" hidden="1" customWidth="1"/>
    <col min="37" max="37" width="9.14414414414414" style="3" hidden="1" customWidth="1"/>
    <col min="38" max="38" width="13.8558558558559" style="3" hidden="1" customWidth="1"/>
    <col min="39" max="39" width="9.14414414414414" style="3" hidden="1" customWidth="1"/>
    <col min="40" max="40" width="17.2882882882883" style="3" hidden="1" customWidth="1"/>
    <col min="41" max="41" width="9.14414414414414" style="3" hidden="1" customWidth="1"/>
    <col min="42" max="42" width="13.8558558558559" style="3" hidden="1" customWidth="1"/>
    <col min="43" max="16384" width="9.14414414414414" style="3"/>
  </cols>
  <sheetData>
    <row r="1" spans="1:42">
      <c r="A1" s="4" t="str">
        <f>UPPER((Kalend!E7)&amp;" - "&amp;(Kalend!C7))&amp;" - "&amp;LOWER(Kalend!D7)&amp;" - "&amp;(Kalend!A7)&amp;" kell "&amp;(Kalend!B7)&amp;" - "&amp;(Kalend!F7)</f>
        <v>V1 - VOKA XI KV 1. ETAPP - duo - T, 07.05.2024 kell 18:00 - Voka staadion</v>
      </c>
      <c r="O1" s="6"/>
      <c r="P1" s="6"/>
      <c r="Q1" s="20"/>
      <c r="R1" s="20"/>
      <c r="S1" s="20"/>
      <c r="T1" s="21"/>
      <c r="U1" s="21"/>
      <c r="V1" s="21"/>
      <c r="W1" s="6"/>
      <c r="X1" s="22"/>
      <c r="Y1" s="6"/>
      <c r="Z1" s="6"/>
      <c r="AD1" s="30" t="s">
        <v>149</v>
      </c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47"/>
      <c r="AP1" s="47"/>
    </row>
    <row r="2" spans="1:40">
      <c r="A2" s="5"/>
      <c r="F2" s="6"/>
      <c r="L2" s="19"/>
      <c r="M2" s="19"/>
      <c r="N2" s="19"/>
      <c r="O2" s="6"/>
      <c r="P2" s="6"/>
      <c r="Q2" s="6"/>
      <c r="R2" s="23" t="s">
        <v>322</v>
      </c>
      <c r="S2" s="6"/>
      <c r="T2" s="19"/>
      <c r="U2" s="19"/>
      <c r="V2" s="19"/>
      <c r="W2" s="24">
        <v>1</v>
      </c>
      <c r="X2" s="6" t="s">
        <v>323</v>
      </c>
      <c r="Y2" s="6"/>
      <c r="Z2" s="6"/>
      <c r="AA2" s="6"/>
      <c r="AB2" s="6"/>
      <c r="AE2" s="6"/>
      <c r="AG2" s="6"/>
      <c r="AH2" s="6"/>
      <c r="AI2" s="6"/>
      <c r="AJ2" s="6"/>
      <c r="AK2" s="6"/>
      <c r="AL2" s="6"/>
      <c r="AM2" s="6"/>
      <c r="AN2" s="6"/>
    </row>
    <row r="3" spans="1:42">
      <c r="A3" s="5"/>
      <c r="F3" s="6"/>
      <c r="L3" s="6"/>
      <c r="M3" s="6"/>
      <c r="N3" s="6"/>
      <c r="O3" s="6"/>
      <c r="P3" s="6"/>
      <c r="Q3" s="6"/>
      <c r="R3" s="25" t="s">
        <v>324</v>
      </c>
      <c r="S3" s="6"/>
      <c r="T3" s="6"/>
      <c r="U3" s="6"/>
      <c r="V3" s="6"/>
      <c r="W3" s="24">
        <v>0.5</v>
      </c>
      <c r="X3" s="6" t="s">
        <v>325</v>
      </c>
      <c r="Y3" s="6"/>
      <c r="Z3" s="6"/>
      <c r="AA3" s="6"/>
      <c r="AB3" s="6"/>
      <c r="AE3" s="19"/>
      <c r="AF3" s="19"/>
      <c r="AG3" s="19"/>
      <c r="AH3" s="44"/>
      <c r="AI3" s="19"/>
      <c r="AJ3" s="19"/>
      <c r="AK3" s="19"/>
      <c r="AL3" s="19"/>
      <c r="AM3" s="19"/>
      <c r="AN3" s="19"/>
      <c r="AO3" s="19"/>
      <c r="AP3" s="19"/>
    </row>
    <row r="4" spans="6:28">
      <c r="F4" s="6"/>
      <c r="L4" s="6"/>
      <c r="M4" s="6"/>
      <c r="N4" s="6"/>
      <c r="O4" s="6"/>
      <c r="P4" s="6"/>
      <c r="Q4" s="6"/>
      <c r="R4" s="26" t="s">
        <v>326</v>
      </c>
      <c r="S4" s="6"/>
      <c r="T4" s="6"/>
      <c r="U4" s="6"/>
      <c r="V4" s="6"/>
      <c r="W4" s="24">
        <v>0</v>
      </c>
      <c r="X4" s="6" t="s">
        <v>325</v>
      </c>
      <c r="Y4" s="6"/>
      <c r="Z4" s="6"/>
      <c r="AA4" s="6"/>
      <c r="AB4" s="6"/>
    </row>
    <row r="5" spans="6:30">
      <c r="F5" s="6"/>
      <c r="L5" s="6"/>
      <c r="M5" s="6"/>
      <c r="N5" s="6"/>
      <c r="O5" s="6"/>
      <c r="P5" s="6"/>
      <c r="Q5" s="6"/>
      <c r="R5" s="6"/>
      <c r="S5" s="6"/>
      <c r="T5" s="6"/>
      <c r="U5" s="6"/>
      <c r="W5" s="6"/>
      <c r="X5" s="6"/>
      <c r="Y5" s="6"/>
      <c r="Z5" s="6"/>
      <c r="AA5" s="6"/>
      <c r="AB5" s="32" t="s">
        <v>327</v>
      </c>
      <c r="AD5" s="33" t="s">
        <v>328</v>
      </c>
    </row>
    <row r="6" spans="1:42">
      <c r="A6" s="7" t="s">
        <v>329</v>
      </c>
      <c r="B6" s="7" t="s">
        <v>180</v>
      </c>
      <c r="C6" s="8" t="s">
        <v>330</v>
      </c>
      <c r="D6" s="9"/>
      <c r="E6" s="9"/>
      <c r="F6" s="10"/>
      <c r="G6" s="8" t="s">
        <v>331</v>
      </c>
      <c r="H6" s="9"/>
      <c r="I6" s="9"/>
      <c r="J6" s="10"/>
      <c r="K6" s="8" t="s">
        <v>332</v>
      </c>
      <c r="L6" s="9"/>
      <c r="M6" s="9"/>
      <c r="N6" s="10"/>
      <c r="O6" s="8" t="s">
        <v>333</v>
      </c>
      <c r="P6" s="9"/>
      <c r="Q6" s="9"/>
      <c r="R6" s="10"/>
      <c r="S6" s="8" t="s">
        <v>334</v>
      </c>
      <c r="T6" s="9"/>
      <c r="U6" s="9"/>
      <c r="V6" s="10"/>
      <c r="W6" s="7" t="s">
        <v>162</v>
      </c>
      <c r="X6" s="27" t="s">
        <v>335</v>
      </c>
      <c r="Y6" s="7" t="s">
        <v>336</v>
      </c>
      <c r="Z6" s="27"/>
      <c r="AA6" s="34" t="s">
        <v>337</v>
      </c>
      <c r="AB6" s="35"/>
      <c r="AC6" s="36" t="s">
        <v>338</v>
      </c>
      <c r="AD6" s="37" t="s">
        <v>168</v>
      </c>
      <c r="AE6" s="38"/>
      <c r="AF6" s="38" t="s">
        <v>339</v>
      </c>
      <c r="AG6" s="38"/>
      <c r="AH6" s="45" t="s">
        <v>340</v>
      </c>
      <c r="AI6" s="38"/>
      <c r="AJ6" s="38" t="s">
        <v>341</v>
      </c>
      <c r="AK6" s="46"/>
      <c r="AL6" s="38" t="s">
        <v>342</v>
      </c>
      <c r="AM6" s="46"/>
      <c r="AN6" s="46" t="s">
        <v>343</v>
      </c>
      <c r="AO6" s="48"/>
      <c r="AP6" s="46" t="s">
        <v>344</v>
      </c>
    </row>
    <row r="7" spans="1:42">
      <c r="A7" s="11">
        <v>1</v>
      </c>
      <c r="B7" s="12" t="s">
        <v>362</v>
      </c>
      <c r="C7" s="13">
        <v>13</v>
      </c>
      <c r="D7" s="14" t="s">
        <v>346</v>
      </c>
      <c r="E7" s="14">
        <v>1</v>
      </c>
      <c r="F7" s="15" t="s">
        <v>363</v>
      </c>
      <c r="G7" s="13">
        <v>13</v>
      </c>
      <c r="H7" s="14" t="s">
        <v>346</v>
      </c>
      <c r="I7" s="14">
        <v>5</v>
      </c>
      <c r="J7" s="15" t="s">
        <v>364</v>
      </c>
      <c r="K7" s="13">
        <v>13</v>
      </c>
      <c r="L7" s="14" t="s">
        <v>346</v>
      </c>
      <c r="M7" s="14">
        <v>2</v>
      </c>
      <c r="N7" s="15" t="s">
        <v>360</v>
      </c>
      <c r="O7" s="13">
        <v>9</v>
      </c>
      <c r="P7" s="14" t="s">
        <v>346</v>
      </c>
      <c r="Q7" s="14">
        <v>13</v>
      </c>
      <c r="R7" s="15" t="s">
        <v>359</v>
      </c>
      <c r="S7" s="13"/>
      <c r="T7" s="14"/>
      <c r="U7" s="14"/>
      <c r="V7" s="15"/>
      <c r="W7" s="28">
        <f t="shared" ref="W7:W19" si="0">IF(C7&gt;E7,W$2,IF(C7&lt;E7,W$4,IF(ISNUMBER(C7),W$3,0)))+IF(G7&gt;I7,W$2,IF(G7&lt;I7,W$4,IF(ISNUMBER(G7),W$3,0)))+IF(K7&gt;M7,W$2,IF(K7&lt;M7,W$4,IF(ISNUMBER(K7),W$3,0)))+IF(O7&gt;Q7,W$2,IF(O7&lt;Q7,W$4,IF(ISNUMBER(O7),W$3,0)))+IF(S7&gt;U7,W$2,IF(S7&lt;U7,W$4,IF(ISNUMBER(S7),W$3,0)))</f>
        <v>3</v>
      </c>
      <c r="X7" s="29">
        <v>20</v>
      </c>
      <c r="Y7" s="29"/>
      <c r="Z7" s="13">
        <f t="shared" ref="Z7:Z15" si="1">C7+G7+K7+O7+S7</f>
        <v>48</v>
      </c>
      <c r="AA7" s="14" t="s">
        <v>346</v>
      </c>
      <c r="AB7" s="39">
        <f t="shared" ref="AB7:AB15" si="2">E7+I7+M7+Q7+U7</f>
        <v>21</v>
      </c>
      <c r="AC7" s="40">
        <f t="shared" ref="AC7:AC15" si="3">Z7-AB7</f>
        <v>27</v>
      </c>
      <c r="AD7" s="41">
        <f t="shared" ref="AD7:AD10" si="4">SUM(AE7:AL7)</f>
        <v>208</v>
      </c>
      <c r="AE7" s="42">
        <f>IFERROR(INDEX(V!$R:$R,MATCH(AF7,V!$L:$L,0)),"")</f>
        <v>60</v>
      </c>
      <c r="AF7" s="43" t="str">
        <f t="shared" ref="AF7:AF19" si="5">IFERROR(LEFT($B7,(FIND(",",$B7,1)-1)),"")</f>
        <v>Kaspar Mänd</v>
      </c>
      <c r="AG7" s="42">
        <f>IFERROR(INDEX(V!$R:$R,MATCH(AH7,V!$L:$L,0)),"")</f>
        <v>148</v>
      </c>
      <c r="AH7" s="43" t="str">
        <f t="shared" ref="AH7:AH19" si="6">IFERROR(MID($B7,FIND(", ",$B7)+2,256),"")</f>
        <v>Olav Türk</v>
      </c>
      <c r="AI7" s="42" t="str">
        <f>IFERROR(INDEX(V!$R:$R,MATCH(AJ7,V!$L:$L,0)),"")</f>
        <v/>
      </c>
      <c r="AJ7" s="43" t="str">
        <f t="shared" ref="AJ7:AJ19" si="7">IFERROR(MID($B7,FIND("^",SUBSTITUTE($B7,", ","^",1))+2,FIND("^",SUBSTITUTE($B7,", ","^",2))-FIND("^",SUBSTITUTE($B7,", ","^",1))-2),"")</f>
        <v/>
      </c>
      <c r="AK7" s="42" t="str">
        <f>IFERROR(INDEX(V!$R:$R,MATCH(AL7,V!$L:$L,0)),"")</f>
        <v/>
      </c>
      <c r="AL7" s="43" t="str">
        <f t="shared" ref="AL7:AL19" si="8">IFERROR(MID($B7,FIND(", ",$B7,FIND(", ",$B7,FIND(", ",$B7))+1)+2,30000),"")</f>
        <v/>
      </c>
      <c r="AM7" s="42" t="str">
        <f>IFERROR(INDEX(V!$R:$R,MATCH(AN7,V!$L:$L,0)),"")</f>
        <v/>
      </c>
      <c r="AN7" s="43" t="str">
        <f t="shared" ref="AN7:AN19" si="9">IFERROR(MID($B7,FIND(", ",$B7,FIND(", ",$B7)+1)+2,FIND(", ",$B7,FIND(", ",$B7,FIND(", ",$B7)+1)+1)-FIND(", ",$B7,FIND(", ",$B7)+1)-2),"")</f>
        <v/>
      </c>
      <c r="AO7" s="42" t="str">
        <f>IFERROR(INDEX(V!$R:$R,MATCH(AP7,V!$L:$L,0)),"")</f>
        <v/>
      </c>
      <c r="AP7" s="43" t="str">
        <f t="shared" ref="AP7:AP19" si="10">IFERROR(MID($B7,FIND(", ",$B7,FIND(", ",$B7,FIND(", ",$B7)+1)+1)+2,30000),"")</f>
        <v/>
      </c>
    </row>
    <row r="8" spans="1:42">
      <c r="A8" s="11">
        <v>2</v>
      </c>
      <c r="B8" s="16" t="s">
        <v>359</v>
      </c>
      <c r="C8" s="13">
        <v>13</v>
      </c>
      <c r="D8" s="14" t="s">
        <v>346</v>
      </c>
      <c r="E8" s="14">
        <v>12</v>
      </c>
      <c r="F8" s="15" t="s">
        <v>365</v>
      </c>
      <c r="G8" s="13">
        <v>13</v>
      </c>
      <c r="H8" s="14" t="s">
        <v>346</v>
      </c>
      <c r="I8" s="14">
        <v>6</v>
      </c>
      <c r="J8" s="15" t="s">
        <v>353</v>
      </c>
      <c r="K8" s="13">
        <v>6</v>
      </c>
      <c r="L8" s="14" t="s">
        <v>346</v>
      </c>
      <c r="M8" s="14">
        <v>13</v>
      </c>
      <c r="N8" s="15" t="s">
        <v>364</v>
      </c>
      <c r="O8" s="13">
        <v>13</v>
      </c>
      <c r="P8" s="14" t="s">
        <v>346</v>
      </c>
      <c r="Q8" s="14">
        <v>9</v>
      </c>
      <c r="R8" s="15" t="s">
        <v>362</v>
      </c>
      <c r="S8" s="13"/>
      <c r="T8" s="14"/>
      <c r="U8" s="14"/>
      <c r="V8" s="15"/>
      <c r="W8" s="28">
        <f t="shared" si="0"/>
        <v>3</v>
      </c>
      <c r="X8" s="29">
        <v>18</v>
      </c>
      <c r="Y8" s="29"/>
      <c r="Z8" s="13">
        <f t="shared" si="1"/>
        <v>45</v>
      </c>
      <c r="AA8" s="14" t="s">
        <v>346</v>
      </c>
      <c r="AB8" s="39">
        <f t="shared" si="2"/>
        <v>40</v>
      </c>
      <c r="AC8" s="40">
        <f t="shared" si="3"/>
        <v>5</v>
      </c>
      <c r="AD8" s="41">
        <f t="shared" si="4"/>
        <v>322</v>
      </c>
      <c r="AE8" s="42">
        <f>IFERROR(INDEX(V!$R:$R,MATCH(AF8,V!$L:$L,0)),"")</f>
        <v>146</v>
      </c>
      <c r="AF8" s="43" t="str">
        <f t="shared" si="5"/>
        <v>Kristel Tihhonjuk</v>
      </c>
      <c r="AG8" s="42">
        <f>IFERROR(INDEX(V!$R:$R,MATCH(AH8,V!$L:$L,0)),"")</f>
        <v>176</v>
      </c>
      <c r="AH8" s="43" t="str">
        <f t="shared" si="6"/>
        <v>Vadim Tihhonjuk</v>
      </c>
      <c r="AI8" s="42" t="str">
        <f>IFERROR(INDEX(V!$R:$R,MATCH(AJ8,V!$L:$L,0)),"")</f>
        <v/>
      </c>
      <c r="AJ8" s="43" t="str">
        <f t="shared" si="7"/>
        <v/>
      </c>
      <c r="AK8" s="42" t="str">
        <f>IFERROR(INDEX(V!$R:$R,MATCH(AL8,V!$L:$L,0)),"")</f>
        <v/>
      </c>
      <c r="AL8" s="43" t="str">
        <f t="shared" si="8"/>
        <v/>
      </c>
      <c r="AM8" s="42" t="str">
        <f>IFERROR(INDEX(V!$R:$R,MATCH(AN8,V!$L:$L,0)),"")</f>
        <v/>
      </c>
      <c r="AN8" s="43" t="str">
        <f t="shared" si="9"/>
        <v/>
      </c>
      <c r="AO8" s="42" t="str">
        <f>IFERROR(INDEX(V!$R:$R,MATCH(AP8,V!$L:$L,0)),"")</f>
        <v/>
      </c>
      <c r="AP8" s="43" t="str">
        <f t="shared" si="10"/>
        <v/>
      </c>
    </row>
    <row r="9" spans="1:42">
      <c r="A9" s="11">
        <v>3</v>
      </c>
      <c r="B9" s="17" t="s">
        <v>360</v>
      </c>
      <c r="C9" s="13">
        <v>11</v>
      </c>
      <c r="D9" s="14" t="s">
        <v>346</v>
      </c>
      <c r="E9" s="14">
        <v>9</v>
      </c>
      <c r="F9" s="15" t="s">
        <v>353</v>
      </c>
      <c r="G9" s="13">
        <v>13</v>
      </c>
      <c r="H9" s="14" t="s">
        <v>346</v>
      </c>
      <c r="I9" s="14">
        <v>3</v>
      </c>
      <c r="J9" s="15" t="s">
        <v>366</v>
      </c>
      <c r="K9" s="13">
        <v>2</v>
      </c>
      <c r="L9" s="14" t="s">
        <v>346</v>
      </c>
      <c r="M9" s="14">
        <v>13</v>
      </c>
      <c r="N9" s="15" t="s">
        <v>362</v>
      </c>
      <c r="O9" s="13">
        <v>12</v>
      </c>
      <c r="P9" s="14" t="s">
        <v>346</v>
      </c>
      <c r="Q9" s="14">
        <v>9</v>
      </c>
      <c r="R9" s="15" t="s">
        <v>364</v>
      </c>
      <c r="S9" s="13"/>
      <c r="T9" s="14"/>
      <c r="U9" s="14"/>
      <c r="V9" s="15"/>
      <c r="W9" s="28">
        <f t="shared" si="0"/>
        <v>3</v>
      </c>
      <c r="X9" s="29">
        <v>16</v>
      </c>
      <c r="Y9" s="29"/>
      <c r="Z9" s="13">
        <f t="shared" si="1"/>
        <v>38</v>
      </c>
      <c r="AA9" s="14" t="s">
        <v>346</v>
      </c>
      <c r="AB9" s="39">
        <f t="shared" si="2"/>
        <v>34</v>
      </c>
      <c r="AC9" s="40">
        <f t="shared" si="3"/>
        <v>4</v>
      </c>
      <c r="AD9" s="41">
        <f t="shared" si="4"/>
        <v>292</v>
      </c>
      <c r="AE9" s="42">
        <f>IFERROR(INDEX(V!$R:$R,MATCH(AF9,V!$L:$L,0)),"")</f>
        <v>146</v>
      </c>
      <c r="AF9" s="43" t="str">
        <f t="shared" si="5"/>
        <v>Meelis Luud</v>
      </c>
      <c r="AG9" s="42">
        <f>IFERROR(INDEX(V!$R:$R,MATCH(AH9,V!$L:$L,0)),"")</f>
        <v>146</v>
      </c>
      <c r="AH9" s="43" t="str">
        <f t="shared" si="6"/>
        <v>Sander Rose</v>
      </c>
      <c r="AI9" s="42" t="str">
        <f>IFERROR(INDEX(V!$R:$R,MATCH(AJ9,V!$L:$L,0)),"")</f>
        <v/>
      </c>
      <c r="AJ9" s="43" t="str">
        <f t="shared" si="7"/>
        <v/>
      </c>
      <c r="AK9" s="42" t="str">
        <f>IFERROR(INDEX(V!$R:$R,MATCH(AL9,V!$L:$L,0)),"")</f>
        <v/>
      </c>
      <c r="AL9" s="43" t="str">
        <f t="shared" si="8"/>
        <v/>
      </c>
      <c r="AM9" s="42" t="str">
        <f>IFERROR(INDEX(V!$R:$R,MATCH(AN9,V!$L:$L,0)),"")</f>
        <v/>
      </c>
      <c r="AN9" s="43" t="str">
        <f t="shared" si="9"/>
        <v/>
      </c>
      <c r="AO9" s="42" t="str">
        <f>IFERROR(INDEX(V!$R:$R,MATCH(AP9,V!$L:$L,0)),"")</f>
        <v/>
      </c>
      <c r="AP9" s="43" t="str">
        <f t="shared" si="10"/>
        <v/>
      </c>
    </row>
    <row r="10" spans="1:42">
      <c r="A10" s="11">
        <v>4</v>
      </c>
      <c r="B10" s="17" t="s">
        <v>365</v>
      </c>
      <c r="C10" s="13">
        <v>12</v>
      </c>
      <c r="D10" s="14" t="s">
        <v>346</v>
      </c>
      <c r="E10" s="14">
        <v>13</v>
      </c>
      <c r="F10" s="15" t="s">
        <v>359</v>
      </c>
      <c r="G10" s="13">
        <v>13</v>
      </c>
      <c r="H10" s="14" t="s">
        <v>346</v>
      </c>
      <c r="I10" s="14">
        <v>6</v>
      </c>
      <c r="J10" s="15" t="s">
        <v>349</v>
      </c>
      <c r="K10" s="13">
        <v>13</v>
      </c>
      <c r="L10" s="14" t="s">
        <v>346</v>
      </c>
      <c r="M10" s="14">
        <v>6</v>
      </c>
      <c r="N10" s="15" t="s">
        <v>366</v>
      </c>
      <c r="O10" s="13">
        <v>13</v>
      </c>
      <c r="P10" s="14" t="s">
        <v>346</v>
      </c>
      <c r="Q10" s="14">
        <v>1</v>
      </c>
      <c r="R10" s="15" t="s">
        <v>353</v>
      </c>
      <c r="S10" s="13"/>
      <c r="T10" s="14"/>
      <c r="U10" s="14"/>
      <c r="V10" s="15"/>
      <c r="W10" s="28">
        <f t="shared" si="0"/>
        <v>3</v>
      </c>
      <c r="X10" s="29">
        <v>14</v>
      </c>
      <c r="Y10" s="29"/>
      <c r="Z10" s="13">
        <f t="shared" si="1"/>
        <v>51</v>
      </c>
      <c r="AA10" s="14" t="s">
        <v>346</v>
      </c>
      <c r="AB10" s="39">
        <f t="shared" si="2"/>
        <v>26</v>
      </c>
      <c r="AC10" s="40">
        <f t="shared" si="3"/>
        <v>25</v>
      </c>
      <c r="AD10" s="41">
        <f t="shared" si="4"/>
        <v>222</v>
      </c>
      <c r="AE10" s="42">
        <f>IFERROR(INDEX(V!$R:$R,MATCH(AF10,V!$L:$L,0)),"")</f>
        <v>150</v>
      </c>
      <c r="AF10" s="43" t="str">
        <f t="shared" si="5"/>
        <v>Henri Mitt</v>
      </c>
      <c r="AG10" s="42">
        <f>IFERROR(INDEX(V!$R:$R,MATCH(AH10,V!$L:$L,0)),"")</f>
        <v>72</v>
      </c>
      <c r="AH10" s="43" t="str">
        <f t="shared" si="6"/>
        <v>Hillar Neiland</v>
      </c>
      <c r="AI10" s="42" t="str">
        <f>IFERROR(INDEX(V!$R:$R,MATCH(AJ10,V!$L:$L,0)),"")</f>
        <v/>
      </c>
      <c r="AJ10" s="43" t="str">
        <f t="shared" si="7"/>
        <v/>
      </c>
      <c r="AK10" s="42" t="str">
        <f>IFERROR(INDEX(V!$R:$R,MATCH(AL10,V!$L:$L,0)),"")</f>
        <v/>
      </c>
      <c r="AL10" s="43" t="str">
        <f t="shared" si="8"/>
        <v/>
      </c>
      <c r="AM10" s="42" t="str">
        <f>IFERROR(INDEX(V!$R:$R,MATCH(AN10,V!$L:$L,0)),"")</f>
        <v/>
      </c>
      <c r="AN10" s="43" t="str">
        <f t="shared" si="9"/>
        <v/>
      </c>
      <c r="AO10" s="42" t="str">
        <f>IFERROR(INDEX(V!$R:$R,MATCH(AP10,V!$L:$L,0)),"")</f>
        <v/>
      </c>
      <c r="AP10" s="43" t="str">
        <f t="shared" si="10"/>
        <v/>
      </c>
    </row>
    <row r="11" spans="1:42">
      <c r="A11" s="11">
        <v>5</v>
      </c>
      <c r="B11" s="16" t="s">
        <v>364</v>
      </c>
      <c r="C11" s="13">
        <v>13</v>
      </c>
      <c r="D11" s="14" t="s">
        <v>346</v>
      </c>
      <c r="E11" s="14">
        <v>7</v>
      </c>
      <c r="F11" s="15" t="s">
        <v>367</v>
      </c>
      <c r="G11" s="13">
        <v>5</v>
      </c>
      <c r="H11" s="14" t="s">
        <v>346</v>
      </c>
      <c r="I11" s="14">
        <v>13</v>
      </c>
      <c r="J11" s="15" t="s">
        <v>362</v>
      </c>
      <c r="K11" s="13">
        <v>13</v>
      </c>
      <c r="L11" s="14" t="s">
        <v>346</v>
      </c>
      <c r="M11" s="14">
        <v>6</v>
      </c>
      <c r="N11" s="15" t="s">
        <v>359</v>
      </c>
      <c r="O11" s="13">
        <v>9</v>
      </c>
      <c r="P11" s="14" t="s">
        <v>346</v>
      </c>
      <c r="Q11" s="14">
        <v>12</v>
      </c>
      <c r="R11" s="15" t="s">
        <v>360</v>
      </c>
      <c r="S11" s="13"/>
      <c r="T11" s="14"/>
      <c r="U11" s="14"/>
      <c r="V11" s="15"/>
      <c r="W11" s="28">
        <f t="shared" si="0"/>
        <v>2</v>
      </c>
      <c r="X11" s="29">
        <v>18</v>
      </c>
      <c r="Y11" s="29"/>
      <c r="Z11" s="13">
        <f t="shared" si="1"/>
        <v>40</v>
      </c>
      <c r="AA11" s="14" t="s">
        <v>346</v>
      </c>
      <c r="AB11" s="39">
        <f t="shared" si="2"/>
        <v>38</v>
      </c>
      <c r="AC11" s="40">
        <f t="shared" si="3"/>
        <v>2</v>
      </c>
      <c r="AD11" s="41">
        <f t="shared" ref="AD11:AD13" si="11">SUM(AE11:AL11)</f>
        <v>160</v>
      </c>
      <c r="AE11" s="42">
        <f>IFERROR(INDEX(V!$R:$R,MATCH(AF11,V!$L:$L,0)),"")</f>
        <v>62</v>
      </c>
      <c r="AF11" s="43" t="str">
        <f t="shared" si="5"/>
        <v>Johannes Neiland</v>
      </c>
      <c r="AG11" s="42">
        <f>IFERROR(INDEX(V!$R:$R,MATCH(AH11,V!$L:$L,0)),"")</f>
        <v>98</v>
      </c>
      <c r="AH11" s="43" t="str">
        <f t="shared" si="6"/>
        <v>Marko Rooden</v>
      </c>
      <c r="AI11" s="42" t="str">
        <f>IFERROR(INDEX(V!$R:$R,MATCH(AJ11,V!$L:$L,0)),"")</f>
        <v/>
      </c>
      <c r="AJ11" s="43" t="str">
        <f t="shared" si="7"/>
        <v/>
      </c>
      <c r="AK11" s="42" t="str">
        <f>IFERROR(INDEX(V!$R:$R,MATCH(AL11,V!$L:$L,0)),"")</f>
        <v/>
      </c>
      <c r="AL11" s="43" t="str">
        <f t="shared" si="8"/>
        <v/>
      </c>
      <c r="AM11" s="42" t="str">
        <f>IFERROR(INDEX(V!$R:$R,MATCH(AN11,V!$L:$L,0)),"")</f>
        <v/>
      </c>
      <c r="AN11" s="43" t="str">
        <f t="shared" si="9"/>
        <v/>
      </c>
      <c r="AO11" s="42" t="str">
        <f>IFERROR(INDEX(V!$R:$R,MATCH(AP11,V!$L:$L,0)),"")</f>
        <v/>
      </c>
      <c r="AP11" s="43" t="str">
        <f t="shared" si="10"/>
        <v/>
      </c>
    </row>
    <row r="12" spans="1:42">
      <c r="A12" s="11">
        <v>6</v>
      </c>
      <c r="B12" s="17" t="s">
        <v>366</v>
      </c>
      <c r="C12" s="13">
        <v>11</v>
      </c>
      <c r="D12" s="14" t="s">
        <v>346</v>
      </c>
      <c r="E12" s="14">
        <v>5</v>
      </c>
      <c r="F12" s="15" t="s">
        <v>349</v>
      </c>
      <c r="G12" s="13">
        <v>3</v>
      </c>
      <c r="H12" s="14" t="s">
        <v>346</v>
      </c>
      <c r="I12" s="14">
        <v>13</v>
      </c>
      <c r="J12" s="15" t="s">
        <v>360</v>
      </c>
      <c r="K12" s="13">
        <v>6</v>
      </c>
      <c r="L12" s="14" t="s">
        <v>346</v>
      </c>
      <c r="M12" s="14">
        <v>13</v>
      </c>
      <c r="N12" s="15" t="s">
        <v>365</v>
      </c>
      <c r="O12" s="13">
        <v>13</v>
      </c>
      <c r="P12" s="14" t="s">
        <v>346</v>
      </c>
      <c r="Q12" s="14">
        <v>7</v>
      </c>
      <c r="R12" s="15" t="s">
        <v>367</v>
      </c>
      <c r="S12" s="13"/>
      <c r="T12" s="14"/>
      <c r="U12" s="14"/>
      <c r="V12" s="15"/>
      <c r="W12" s="28">
        <f t="shared" si="0"/>
        <v>2</v>
      </c>
      <c r="X12" s="29">
        <v>14</v>
      </c>
      <c r="Y12" s="29"/>
      <c r="Z12" s="13">
        <f t="shared" si="1"/>
        <v>33</v>
      </c>
      <c r="AA12" s="14" t="s">
        <v>346</v>
      </c>
      <c r="AB12" s="39">
        <f t="shared" si="2"/>
        <v>38</v>
      </c>
      <c r="AC12" s="40">
        <f t="shared" si="3"/>
        <v>-5</v>
      </c>
      <c r="AD12" s="41">
        <f t="shared" si="11"/>
        <v>136</v>
      </c>
      <c r="AE12" s="42">
        <f>IFERROR(INDEX(V!$R:$R,MATCH(AF12,V!$L:$L,0)),"")</f>
        <v>34</v>
      </c>
      <c r="AF12" s="43" t="str">
        <f t="shared" si="5"/>
        <v>Boriss Klubov</v>
      </c>
      <c r="AG12" s="42">
        <f>IFERROR(INDEX(V!$R:$R,MATCH(AH12,V!$L:$L,0)),"")</f>
        <v>102</v>
      </c>
      <c r="AH12" s="43" t="str">
        <f t="shared" si="6"/>
        <v>Elmo Lageda</v>
      </c>
      <c r="AI12" s="42" t="str">
        <f>IFERROR(INDEX(V!$R:$R,MATCH(AJ12,V!$L:$L,0)),"")</f>
        <v/>
      </c>
      <c r="AJ12" s="43" t="str">
        <f t="shared" si="7"/>
        <v/>
      </c>
      <c r="AK12" s="42" t="str">
        <f>IFERROR(INDEX(V!$R:$R,MATCH(AL12,V!$L:$L,0)),"")</f>
        <v/>
      </c>
      <c r="AL12" s="43" t="str">
        <f t="shared" si="8"/>
        <v/>
      </c>
      <c r="AM12" s="42" t="str">
        <f>IFERROR(INDEX(V!$R:$R,MATCH(AN12,V!$L:$L,0)),"")</f>
        <v/>
      </c>
      <c r="AN12" s="43" t="str">
        <f t="shared" si="9"/>
        <v/>
      </c>
      <c r="AO12" s="42" t="str">
        <f>IFERROR(INDEX(V!$R:$R,MATCH(AP12,V!$L:$L,0)),"")</f>
        <v/>
      </c>
      <c r="AP12" s="43" t="str">
        <f t="shared" si="10"/>
        <v/>
      </c>
    </row>
    <row r="13" spans="1:42">
      <c r="A13" s="11">
        <v>7</v>
      </c>
      <c r="B13" s="18" t="s">
        <v>363</v>
      </c>
      <c r="C13" s="13">
        <v>1</v>
      </c>
      <c r="D13" s="14" t="s">
        <v>346</v>
      </c>
      <c r="E13" s="14">
        <v>13</v>
      </c>
      <c r="F13" s="15" t="s">
        <v>362</v>
      </c>
      <c r="G13" s="13">
        <v>13</v>
      </c>
      <c r="H13" s="14" t="s">
        <v>346</v>
      </c>
      <c r="I13" s="14">
        <v>7</v>
      </c>
      <c r="J13" s="15" t="s">
        <v>367</v>
      </c>
      <c r="K13" s="13">
        <v>6</v>
      </c>
      <c r="L13" s="14" t="s">
        <v>346</v>
      </c>
      <c r="M13" s="14">
        <v>13</v>
      </c>
      <c r="N13" s="15" t="s">
        <v>353</v>
      </c>
      <c r="O13" s="13">
        <v>13</v>
      </c>
      <c r="P13" s="14" t="s">
        <v>346</v>
      </c>
      <c r="Q13" s="14">
        <v>7</v>
      </c>
      <c r="R13" s="15" t="s">
        <v>349</v>
      </c>
      <c r="S13" s="13"/>
      <c r="T13" s="14"/>
      <c r="U13" s="14"/>
      <c r="V13" s="15"/>
      <c r="W13" s="28">
        <f t="shared" si="0"/>
        <v>2</v>
      </c>
      <c r="X13" s="29">
        <v>10</v>
      </c>
      <c r="Y13" s="29"/>
      <c r="Z13" s="13">
        <f t="shared" si="1"/>
        <v>33</v>
      </c>
      <c r="AA13" s="14" t="s">
        <v>346</v>
      </c>
      <c r="AB13" s="39">
        <f t="shared" si="2"/>
        <v>40</v>
      </c>
      <c r="AC13" s="40">
        <f t="shared" si="3"/>
        <v>-7</v>
      </c>
      <c r="AD13" s="41">
        <f t="shared" si="11"/>
        <v>184</v>
      </c>
      <c r="AE13" s="42">
        <f>IFERROR(INDEX(V!$R:$R,MATCH(AF13,V!$L:$L,0)),"")</f>
        <v>96</v>
      </c>
      <c r="AF13" s="43" t="str">
        <f t="shared" si="5"/>
        <v>Andrei Grintšak</v>
      </c>
      <c r="AG13" s="42">
        <f>IFERROR(INDEX(V!$R:$R,MATCH(AH13,V!$L:$L,0)),"")</f>
        <v>88</v>
      </c>
      <c r="AH13" s="43" t="str">
        <f t="shared" si="6"/>
        <v>Enn Tokman</v>
      </c>
      <c r="AI13" s="42" t="str">
        <f>IFERROR(INDEX(V!$R:$R,MATCH(AJ13,V!$L:$L,0)),"")</f>
        <v/>
      </c>
      <c r="AJ13" s="43" t="str">
        <f t="shared" si="7"/>
        <v/>
      </c>
      <c r="AK13" s="42" t="str">
        <f>IFERROR(INDEX(V!$R:$R,MATCH(AL13,V!$L:$L,0)),"")</f>
        <v/>
      </c>
      <c r="AL13" s="43" t="str">
        <f t="shared" si="8"/>
        <v/>
      </c>
      <c r="AM13" s="42" t="str">
        <f>IFERROR(INDEX(V!$R:$R,MATCH(AN13,V!$L:$L,0)),"")</f>
        <v/>
      </c>
      <c r="AN13" s="43" t="str">
        <f t="shared" si="9"/>
        <v/>
      </c>
      <c r="AO13" s="42" t="str">
        <f>IFERROR(INDEX(V!$R:$R,MATCH(AP13,V!$L:$L,0)),"")</f>
        <v/>
      </c>
      <c r="AP13" s="43" t="str">
        <f t="shared" si="10"/>
        <v/>
      </c>
    </row>
    <row r="14" spans="1:42">
      <c r="A14" s="11">
        <v>8</v>
      </c>
      <c r="B14" s="18" t="s">
        <v>353</v>
      </c>
      <c r="C14" s="13">
        <v>9</v>
      </c>
      <c r="D14" s="14" t="s">
        <v>346</v>
      </c>
      <c r="E14" s="14">
        <v>11</v>
      </c>
      <c r="F14" s="15" t="s">
        <v>360</v>
      </c>
      <c r="G14" s="13">
        <v>6</v>
      </c>
      <c r="H14" s="14" t="s">
        <v>346</v>
      </c>
      <c r="I14" s="14">
        <v>13</v>
      </c>
      <c r="J14" s="15" t="s">
        <v>359</v>
      </c>
      <c r="K14" s="13">
        <v>13</v>
      </c>
      <c r="L14" s="14" t="s">
        <v>346</v>
      </c>
      <c r="M14" s="14">
        <v>6</v>
      </c>
      <c r="N14" s="15" t="s">
        <v>363</v>
      </c>
      <c r="O14" s="13">
        <v>1</v>
      </c>
      <c r="P14" s="14" t="s">
        <v>346</v>
      </c>
      <c r="Q14" s="14">
        <v>13</v>
      </c>
      <c r="R14" s="15" t="s">
        <v>365</v>
      </c>
      <c r="S14" s="13"/>
      <c r="T14" s="14"/>
      <c r="U14" s="14"/>
      <c r="V14" s="15"/>
      <c r="W14" s="28">
        <f t="shared" si="0"/>
        <v>1</v>
      </c>
      <c r="X14" s="29">
        <v>22</v>
      </c>
      <c r="Y14" s="29"/>
      <c r="Z14" s="13">
        <f t="shared" si="1"/>
        <v>29</v>
      </c>
      <c r="AA14" s="14" t="s">
        <v>346</v>
      </c>
      <c r="AB14" s="39">
        <f t="shared" si="2"/>
        <v>43</v>
      </c>
      <c r="AC14" s="40">
        <f t="shared" si="3"/>
        <v>-14</v>
      </c>
      <c r="AD14" s="41">
        <f t="shared" ref="AD14:AD15" si="12">SUM(AE14:AL14)</f>
        <v>74</v>
      </c>
      <c r="AE14" s="42">
        <f>IFERROR(INDEX(V!$R:$R,MATCH(AF14,V!$L:$L,0)),"")</f>
        <v>26</v>
      </c>
      <c r="AF14" s="43" t="str">
        <f t="shared" si="5"/>
        <v>Jaan Saar</v>
      </c>
      <c r="AG14" s="42">
        <f>IFERROR(INDEX(V!$R:$R,MATCH(AH14,V!$L:$L,0)),"")</f>
        <v>48</v>
      </c>
      <c r="AH14" s="43" t="str">
        <f t="shared" si="6"/>
        <v>Liidia Põllu</v>
      </c>
      <c r="AI14" s="42" t="str">
        <f>IFERROR(INDEX(V!$R:$R,MATCH(AJ14,V!$L:$L,0)),"")</f>
        <v/>
      </c>
      <c r="AJ14" s="43" t="str">
        <f t="shared" si="7"/>
        <v/>
      </c>
      <c r="AK14" s="42" t="str">
        <f>IFERROR(INDEX(V!$R:$R,MATCH(AL14,V!$L:$L,0)),"")</f>
        <v/>
      </c>
      <c r="AL14" s="43" t="str">
        <f t="shared" si="8"/>
        <v/>
      </c>
      <c r="AM14" s="42" t="str">
        <f>IFERROR(INDEX(V!$R:$R,MATCH(AN14,V!$L:$L,0)),"")</f>
        <v/>
      </c>
      <c r="AN14" s="43" t="str">
        <f t="shared" si="9"/>
        <v/>
      </c>
      <c r="AO14" s="42" t="str">
        <f>IFERROR(INDEX(V!$R:$R,MATCH(AP14,V!$L:$L,0)),"")</f>
        <v/>
      </c>
      <c r="AP14" s="43" t="str">
        <f t="shared" si="10"/>
        <v/>
      </c>
    </row>
    <row r="15" spans="1:42">
      <c r="A15" s="11">
        <v>9</v>
      </c>
      <c r="B15" s="17" t="s">
        <v>349</v>
      </c>
      <c r="C15" s="13">
        <v>5</v>
      </c>
      <c r="D15" s="14" t="s">
        <v>346</v>
      </c>
      <c r="E15" s="14">
        <v>11</v>
      </c>
      <c r="F15" s="15" t="s">
        <v>366</v>
      </c>
      <c r="G15" s="13">
        <v>6</v>
      </c>
      <c r="H15" s="14" t="s">
        <v>346</v>
      </c>
      <c r="I15" s="14">
        <v>13</v>
      </c>
      <c r="J15" s="15" t="s">
        <v>365</v>
      </c>
      <c r="K15" s="13">
        <v>13</v>
      </c>
      <c r="L15" s="14" t="s">
        <v>346</v>
      </c>
      <c r="M15" s="14">
        <v>7</v>
      </c>
      <c r="N15" s="15" t="s">
        <v>367</v>
      </c>
      <c r="O15" s="13">
        <v>7</v>
      </c>
      <c r="P15" s="14" t="s">
        <v>346</v>
      </c>
      <c r="Q15" s="14">
        <v>13</v>
      </c>
      <c r="R15" s="15" t="s">
        <v>363</v>
      </c>
      <c r="S15" s="13"/>
      <c r="T15" s="14"/>
      <c r="U15" s="14"/>
      <c r="V15" s="15"/>
      <c r="W15" s="28">
        <f t="shared" si="0"/>
        <v>1</v>
      </c>
      <c r="X15" s="29">
        <v>14</v>
      </c>
      <c r="Y15" s="29"/>
      <c r="Z15" s="13">
        <f t="shared" si="1"/>
        <v>31</v>
      </c>
      <c r="AA15" s="14" t="s">
        <v>346</v>
      </c>
      <c r="AB15" s="39">
        <f t="shared" si="2"/>
        <v>44</v>
      </c>
      <c r="AC15" s="40">
        <f t="shared" si="3"/>
        <v>-13</v>
      </c>
      <c r="AD15" s="41">
        <f t="shared" si="12"/>
        <v>186</v>
      </c>
      <c r="AE15" s="42">
        <f>IFERROR(INDEX(V!$R:$R,MATCH(AF15,V!$L:$L,0)),"")</f>
        <v>104</v>
      </c>
      <c r="AF15" s="43" t="str">
        <f t="shared" si="5"/>
        <v>Andres Veski</v>
      </c>
      <c r="AG15" s="42">
        <f>IFERROR(INDEX(V!$R:$R,MATCH(AH15,V!$L:$L,0)),"")</f>
        <v>82</v>
      </c>
      <c r="AH15" s="43" t="str">
        <f t="shared" si="6"/>
        <v>Svetlana Veski</v>
      </c>
      <c r="AI15" s="42" t="str">
        <f>IFERROR(INDEX(V!$R:$R,MATCH(AJ15,V!$L:$L,0)),"")</f>
        <v/>
      </c>
      <c r="AJ15" s="43" t="str">
        <f t="shared" si="7"/>
        <v/>
      </c>
      <c r="AK15" s="42" t="str">
        <f>IFERROR(INDEX(V!$R:$R,MATCH(AL15,V!$L:$L,0)),"")</f>
        <v/>
      </c>
      <c r="AL15" s="43" t="str">
        <f t="shared" si="8"/>
        <v/>
      </c>
      <c r="AM15" s="42" t="str">
        <f>IFERROR(INDEX(V!$R:$R,MATCH(AN15,V!$L:$L,0)),"")</f>
        <v/>
      </c>
      <c r="AN15" s="43" t="str">
        <f t="shared" si="9"/>
        <v/>
      </c>
      <c r="AO15" s="42" t="str">
        <f>IFERROR(INDEX(V!$R:$R,MATCH(AP15,V!$L:$L,0)),"")</f>
        <v/>
      </c>
      <c r="AP15" s="43" t="str">
        <f t="shared" si="10"/>
        <v/>
      </c>
    </row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  <row r="35" hidden="1"/>
    <row r="36" hidden="1"/>
    <row r="37" hidden="1"/>
    <row r="38" hidden="1"/>
    <row r="39" hidden="1"/>
    <row r="40" hidden="1"/>
    <row r="41" hidden="1"/>
    <row r="42" hidden="1"/>
    <row r="43" hidden="1"/>
    <row r="44" hidden="1"/>
    <row r="45" hidden="1"/>
    <row r="46" hidden="1"/>
    <row r="47" hidden="1"/>
    <row r="48" hidden="1"/>
    <row r="49" hidden="1"/>
    <row r="50" hidden="1"/>
    <row r="51" hidden="1"/>
    <row r="52" hidden="1"/>
    <row r="53" hidden="1"/>
    <row r="54" hidden="1"/>
    <row r="55" hidden="1"/>
    <row r="56" hidden="1"/>
    <row r="57" hidden="1"/>
    <row r="58" hidden="1"/>
    <row r="59" hidden="1"/>
    <row r="60" hidden="1"/>
    <row r="61" hidden="1"/>
    <row r="62" hidden="1"/>
    <row r="63" hidden="1"/>
    <row r="64" hidden="1"/>
    <row r="65" hidden="1"/>
    <row r="66" hidden="1"/>
    <row r="67" hidden="1"/>
    <row r="68" hidden="1"/>
    <row r="69" hidden="1"/>
    <row r="70" hidden="1"/>
    <row r="71" hidden="1"/>
    <row r="72" hidden="1"/>
    <row r="73" hidden="1"/>
    <row r="74" hidden="1"/>
    <row r="75" hidden="1"/>
    <row r="76" hidden="1"/>
    <row r="77" hidden="1"/>
    <row r="78" hidden="1"/>
    <row r="79" hidden="1"/>
    <row r="80" hidden="1"/>
    <row r="81" hidden="1"/>
    <row r="82" hidden="1"/>
    <row r="83" hidden="1"/>
    <row r="84" hidden="1"/>
    <row r="85" hidden="1"/>
    <row r="86" hidden="1"/>
    <row r="87" hidden="1"/>
    <row r="88" hidden="1"/>
    <row r="89" hidden="1"/>
    <row r="90" hidden="1"/>
    <row r="91" hidden="1"/>
    <row r="92" hidden="1"/>
    <row r="93" hidden="1"/>
    <row r="94" hidden="1"/>
    <row r="95" hidden="1"/>
    <row r="96" hidden="1"/>
    <row r="97" hidden="1"/>
    <row r="98" hidden="1"/>
    <row r="99" hidden="1"/>
    <row r="100" hidden="1"/>
    <row r="101" hidden="1"/>
    <row r="102" hidden="1"/>
    <row r="103" hidden="1"/>
    <row r="104" hidden="1"/>
    <row r="105" hidden="1"/>
    <row r="106" hidden="1"/>
    <row r="107" hidden="1"/>
    <row r="108" hidden="1"/>
    <row r="109" hidden="1"/>
    <row r="110" hidden="1"/>
    <row r="111" hidden="1"/>
    <row r="112" hidden="1"/>
    <row r="113" hidden="1"/>
    <row r="114" hidden="1"/>
    <row r="115" hidden="1"/>
    <row r="116" hidden="1"/>
    <row r="117" hidden="1"/>
    <row r="118" hidden="1"/>
    <row r="119" hidden="1"/>
    <row r="120" hidden="1"/>
    <row r="121" hidden="1"/>
    <row r="122" hidden="1"/>
    <row r="123" hidden="1"/>
    <row r="124" hidden="1"/>
    <row r="125" hidden="1"/>
    <row r="126" hidden="1"/>
    <row r="127" hidden="1"/>
    <row r="128" hidden="1"/>
    <row r="129" hidden="1"/>
    <row r="130" hidden="1"/>
    <row r="131" hidden="1"/>
    <row r="132" hidden="1"/>
    <row r="133" hidden="1"/>
    <row r="134" hidden="1"/>
    <row r="135" hidden="1"/>
    <row r="136" hidden="1"/>
    <row r="137" hidden="1"/>
    <row r="138" hidden="1"/>
    <row r="139" hidden="1"/>
    <row r="140" hidden="1"/>
    <row r="141" hidden="1"/>
    <row r="142" hidden="1"/>
    <row r="143" hidden="1"/>
    <row r="144" hidden="1"/>
    <row r="145" hidden="1"/>
    <row r="146" hidden="1"/>
    <row r="147" hidden="1"/>
    <row r="148" hidden="1"/>
    <row r="149" hidden="1"/>
    <row r="150" hidden="1"/>
    <row r="151" hidden="1"/>
    <row r="152" hidden="1"/>
    <row r="153" hidden="1"/>
    <row r="154" hidden="1"/>
    <row r="155" hidden="1"/>
    <row r="156" hidden="1"/>
    <row r="157" hidden="1"/>
    <row r="158" hidden="1"/>
    <row r="159" hidden="1"/>
    <row r="160" hidden="1"/>
    <row r="161" hidden="1"/>
    <row r="162" hidden="1"/>
    <row r="163" hidden="1"/>
    <row r="164" hidden="1"/>
    <row r="165" hidden="1"/>
    <row r="166" hidden="1"/>
    <row r="167" hidden="1"/>
    <row r="168" hidden="1"/>
    <row r="169" hidden="1"/>
    <row r="170" hidden="1"/>
    <row r="171" hidden="1"/>
    <row r="172" hidden="1"/>
    <row r="173" hidden="1"/>
    <row r="174" hidden="1"/>
    <row r="175" hidden="1"/>
    <row r="176" hidden="1"/>
    <row r="177" hidden="1"/>
    <row r="178" hidden="1"/>
    <row r="179" hidden="1"/>
    <row r="180" hidden="1"/>
    <row r="181" hidden="1"/>
    <row r="182" hidden="1"/>
    <row r="183" hidden="1"/>
    <row r="184" hidden="1"/>
    <row r="185" hidden="1"/>
    <row r="186" hidden="1"/>
    <row r="187" hidden="1"/>
    <row r="188" hidden="1"/>
    <row r="189" hidden="1"/>
    <row r="190" hidden="1"/>
    <row r="191" hidden="1"/>
    <row r="192" hidden="1"/>
    <row r="193" hidden="1"/>
    <row r="194" hidden="1"/>
    <row r="195" hidden="1"/>
    <row r="196" hidden="1"/>
    <row r="197" hidden="1"/>
    <row r="198" hidden="1"/>
    <row r="199" hidden="1"/>
    <row r="200" hidden="1"/>
    <row r="201" hidden="1"/>
    <row r="202" hidden="1"/>
    <row r="203" hidden="1"/>
    <row r="204" hidden="1"/>
    <row r="205" hidden="1"/>
    <row r="206" hidden="1"/>
    <row r="207" hidden="1"/>
    <row r="208" hidden="1"/>
    <row r="209" hidden="1"/>
    <row r="210" hidden="1"/>
    <row r="211" hidden="1"/>
    <row r="212" hidden="1"/>
    <row r="213" hidden="1"/>
    <row r="214" hidden="1"/>
    <row r="215" hidden="1"/>
    <row r="216" hidden="1"/>
    <row r="217" hidden="1"/>
    <row r="218" hidden="1"/>
    <row r="219" hidden="1"/>
    <row r="220" hidden="1"/>
    <row r="221" hidden="1"/>
    <row r="222" hidden="1"/>
    <row r="223" hidden="1"/>
    <row r="224" hidden="1"/>
    <row r="225" hidden="1"/>
    <row r="226" hidden="1"/>
    <row r="227" hidden="1"/>
    <row r="228" hidden="1"/>
    <row r="229" hidden="1"/>
    <row r="230" hidden="1"/>
    <row r="231" hidden="1"/>
    <row r="232" hidden="1"/>
    <row r="233" hidden="1"/>
    <row r="234" hidden="1"/>
    <row r="235" hidden="1"/>
    <row r="236" hidden="1"/>
    <row r="237" hidden="1"/>
    <row r="238" hidden="1"/>
    <row r="239" hidden="1"/>
    <row r="240" hidden="1"/>
    <row r="241" hidden="1"/>
    <row r="242" hidden="1"/>
    <row r="243" hidden="1"/>
    <row r="244" hidden="1"/>
    <row r="245" hidden="1"/>
    <row r="246" hidden="1"/>
    <row r="247" hidden="1"/>
    <row r="248" hidden="1"/>
    <row r="249" hidden="1"/>
    <row r="250" hidden="1"/>
    <row r="251" hidden="1"/>
    <row r="252" hidden="1"/>
    <row r="253" hidden="1"/>
    <row r="254" hidden="1"/>
    <row r="255" hidden="1"/>
    <row r="256" hidden="1"/>
    <row r="257" hidden="1"/>
    <row r="258" hidden="1"/>
    <row r="259" hidden="1"/>
    <row r="260" hidden="1"/>
    <row r="261" hidden="1"/>
    <row r="262" hidden="1"/>
    <row r="263" hidden="1"/>
    <row r="264" hidden="1"/>
    <row r="265" hidden="1"/>
    <row r="266" hidden="1"/>
    <row r="267" hidden="1"/>
    <row r="268" hidden="1"/>
    <row r="269" hidden="1"/>
    <row r="270" hidden="1"/>
    <row r="271" hidden="1"/>
    <row r="272" hidden="1"/>
    <row r="273" hidden="1"/>
    <row r="274" hidden="1"/>
    <row r="275" hidden="1"/>
    <row r="276" hidden="1"/>
    <row r="277" hidden="1"/>
    <row r="278" hidden="1"/>
    <row r="279" hidden="1"/>
    <row r="280" hidden="1"/>
    <row r="281" hidden="1"/>
    <row r="282" hidden="1"/>
    <row r="283" hidden="1"/>
    <row r="284" hidden="1"/>
    <row r="285" hidden="1"/>
    <row r="286" hidden="1"/>
    <row r="287" hidden="1"/>
    <row r="288" hidden="1"/>
    <row r="289" hidden="1"/>
    <row r="290" hidden="1"/>
    <row r="291" hidden="1"/>
    <row r="292" hidden="1"/>
    <row r="293" hidden="1"/>
    <row r="294" hidden="1"/>
    <row r="295" hidden="1"/>
    <row r="296" hidden="1"/>
    <row r="297" hidden="1"/>
    <row r="298" hidden="1"/>
    <row r="299" spans="1:6">
      <c r="A299" s="6"/>
      <c r="B299" s="6"/>
      <c r="C299" s="49" t="s">
        <v>368</v>
      </c>
      <c r="F299" s="50"/>
    </row>
    <row r="300" spans="1:6">
      <c r="A300" s="51">
        <v>1</v>
      </c>
      <c r="B300" s="52" t="str">
        <f t="shared" ref="B300:B308" si="13">IFERROR(INDEX(B$1:B$95,MATCH(A300,A$1:A$95,0)),"")</f>
        <v>Kaspar Mänd, Olav Türk</v>
      </c>
      <c r="C300" s="53">
        <f>LARGE(A300:A400,1)*2+2-A300*2</f>
        <v>18</v>
      </c>
      <c r="F300" s="50"/>
    </row>
    <row r="301" spans="1:6">
      <c r="A301" s="51">
        <v>2</v>
      </c>
      <c r="B301" s="52" t="str">
        <f t="shared" si="13"/>
        <v>Kristel Tihhonjuk, Vadim Tihhonjuk</v>
      </c>
      <c r="C301" s="53">
        <f t="shared" ref="C301:C308" si="14">LARGE(A301:A401,1)*2+2-A301*2</f>
        <v>16</v>
      </c>
      <c r="F301" s="50"/>
    </row>
    <row r="302" spans="1:6">
      <c r="A302" s="51">
        <v>3</v>
      </c>
      <c r="B302" s="52" t="str">
        <f t="shared" si="13"/>
        <v>Meelis Luud, Sander Rose</v>
      </c>
      <c r="C302" s="53">
        <f t="shared" si="14"/>
        <v>14</v>
      </c>
      <c r="F302" s="50"/>
    </row>
    <row r="303" spans="1:6">
      <c r="A303" s="51">
        <v>4</v>
      </c>
      <c r="B303" s="52" t="str">
        <f t="shared" si="13"/>
        <v>Henri Mitt, Hillar Neiland</v>
      </c>
      <c r="C303" s="53">
        <f t="shared" si="14"/>
        <v>12</v>
      </c>
      <c r="F303" s="50"/>
    </row>
    <row r="304" spans="1:6">
      <c r="A304" s="51">
        <v>5</v>
      </c>
      <c r="B304" s="52" t="str">
        <f t="shared" si="13"/>
        <v>Johannes Neiland, Marko Rooden</v>
      </c>
      <c r="C304" s="53">
        <f t="shared" si="14"/>
        <v>10</v>
      </c>
      <c r="F304" s="50"/>
    </row>
    <row r="305" spans="1:6">
      <c r="A305" s="51">
        <v>6</v>
      </c>
      <c r="B305" s="52" t="str">
        <f t="shared" si="13"/>
        <v>Boriss Klubov, Elmo Lageda</v>
      </c>
      <c r="C305" s="53">
        <f t="shared" si="14"/>
        <v>8</v>
      </c>
      <c r="F305" s="50"/>
    </row>
    <row r="306" spans="1:6">
      <c r="A306" s="51">
        <v>7</v>
      </c>
      <c r="B306" s="52" t="str">
        <f t="shared" si="13"/>
        <v>Andrei Grintšak, Enn Tokman</v>
      </c>
      <c r="C306" s="53">
        <f t="shared" si="14"/>
        <v>6</v>
      </c>
      <c r="F306" s="50"/>
    </row>
    <row r="307" spans="1:6">
      <c r="A307" s="51">
        <v>8</v>
      </c>
      <c r="B307" s="52" t="str">
        <f t="shared" si="13"/>
        <v>Jaan Saar, Liidia Põllu</v>
      </c>
      <c r="C307" s="53">
        <f t="shared" si="14"/>
        <v>4</v>
      </c>
      <c r="F307" s="50"/>
    </row>
    <row r="308" spans="1:6">
      <c r="A308" s="51">
        <v>9</v>
      </c>
      <c r="B308" s="52" t="str">
        <f t="shared" si="13"/>
        <v>Andres Veski, Svetlana Veski</v>
      </c>
      <c r="C308" s="53">
        <f t="shared" si="14"/>
        <v>2</v>
      </c>
      <c r="F308" s="50"/>
    </row>
  </sheetData>
  <conditionalFormatting sqref="A7:A15">
    <cfRule type="duplicateValues" dxfId="17" priority="33"/>
  </conditionalFormatting>
  <conditionalFormatting sqref="B300:B308">
    <cfRule type="expression" dxfId="3" priority="39">
      <formula>A300=3</formula>
    </cfRule>
    <cfRule type="expression" dxfId="4" priority="40">
      <formula>A300=2</formula>
    </cfRule>
    <cfRule type="expression" dxfId="18" priority="41">
      <formula>A300=1</formula>
    </cfRule>
    <cfRule type="containsBlanks" dxfId="19" priority="42">
      <formula>LEN(TRIM(B300))=0</formula>
    </cfRule>
    <cfRule type="duplicateValues" dxfId="8" priority="43"/>
  </conditionalFormatting>
  <conditionalFormatting sqref="C7:C15">
    <cfRule type="expression" dxfId="20" priority="15">
      <formula>IF($C7&gt;$E7,TRUE)</formula>
    </cfRule>
  </conditionalFormatting>
  <conditionalFormatting sqref="E7:E15">
    <cfRule type="expression" dxfId="20" priority="16">
      <formula>IF($C7&lt;$E7,TRUE)</formula>
    </cfRule>
  </conditionalFormatting>
  <conditionalFormatting sqref="F7:F15">
    <cfRule type="containsText" dxfId="21" priority="6" operator="between" text="vaba voor">
      <formula>NOT(ISERROR(SEARCH("vaba voor",F7)))</formula>
    </cfRule>
  </conditionalFormatting>
  <conditionalFormatting sqref="G7:G15">
    <cfRule type="expression" dxfId="20" priority="19">
      <formula>IF($G7&gt;$I7,TRUE)</formula>
    </cfRule>
  </conditionalFormatting>
  <conditionalFormatting sqref="I7:I15">
    <cfRule type="expression" dxfId="20" priority="20">
      <formula>IF($G7&lt;$I7,TRUE)</formula>
    </cfRule>
  </conditionalFormatting>
  <conditionalFormatting sqref="J7:J15">
    <cfRule type="containsText" dxfId="21" priority="5" operator="between" text="vaba voor">
      <formula>NOT(ISERROR(SEARCH("vaba voor",J7)))</formula>
    </cfRule>
  </conditionalFormatting>
  <conditionalFormatting sqref="K7:K15">
    <cfRule type="expression" dxfId="20" priority="23">
      <formula>IF($K7&gt;$M7,TRUE)</formula>
    </cfRule>
  </conditionalFormatting>
  <conditionalFormatting sqref="M7:M15">
    <cfRule type="expression" dxfId="20" priority="24">
      <formula>IF($K7&lt;$M7,TRUE)</formula>
    </cfRule>
  </conditionalFormatting>
  <conditionalFormatting sqref="N7:N15">
    <cfRule type="containsText" dxfId="21" priority="4" operator="between" text="vaba voor">
      <formula>NOT(ISERROR(SEARCH("vaba voor",N7)))</formula>
    </cfRule>
  </conditionalFormatting>
  <conditionalFormatting sqref="O7:O15">
    <cfRule type="expression" dxfId="20" priority="27">
      <formula>IF($O7&gt;$Q7,TRUE)</formula>
    </cfRule>
  </conditionalFormatting>
  <conditionalFormatting sqref="Q7:Q15">
    <cfRule type="expression" dxfId="20" priority="28">
      <formula>IF($O7&lt;$Q7,TRUE)</formula>
    </cfRule>
  </conditionalFormatting>
  <conditionalFormatting sqref="R7:R15">
    <cfRule type="containsText" dxfId="21" priority="7" operator="between" text="vaba voor">
      <formula>NOT(ISERROR(SEARCH("vaba voor",R7)))</formula>
    </cfRule>
  </conditionalFormatting>
  <conditionalFormatting sqref="S7:S15">
    <cfRule type="expression" dxfId="20" priority="31">
      <formula>IF($S7&gt;$U7,TRUE)</formula>
    </cfRule>
  </conditionalFormatting>
  <conditionalFormatting sqref="U7:U15">
    <cfRule type="expression" dxfId="20" priority="32">
      <formula>IF($S7&lt;$U7,TRUE)</formula>
    </cfRule>
  </conditionalFormatting>
  <conditionalFormatting sqref="V7:V15">
    <cfRule type="containsText" dxfId="21" priority="3" operator="between" text="vaba voor">
      <formula>NOT(ISERROR(SEARCH("vaba voor",V7)))</formula>
    </cfRule>
  </conditionalFormatting>
  <conditionalFormatting sqref="AF7:AF15">
    <cfRule type="expression" dxfId="22" priority="37">
      <formula>AND(AE7="",COUNTIF(AF7,"*,*")=0)</formula>
    </cfRule>
  </conditionalFormatting>
  <conditionalFormatting sqref="C7:F15">
    <cfRule type="expression" dxfId="5" priority="11">
      <formula>IF(AND(ISNUMBER($C7),$C7=$E7),TRUE)</formula>
    </cfRule>
    <cfRule type="expression" dxfId="7" priority="13">
      <formula>IF($C7&gt;$E7,TRUE)</formula>
    </cfRule>
    <cfRule type="expression" dxfId="23" priority="14">
      <formula>IF($C7&lt;$E7,TRUE)</formula>
    </cfRule>
  </conditionalFormatting>
  <conditionalFormatting sqref="C7:C15;G7:G15;K7:K15;O7:O15;S7:S15">
    <cfRule type="expression" dxfId="24" priority="1">
      <formula>AND(C7=0,E7=13)</formula>
    </cfRule>
  </conditionalFormatting>
  <conditionalFormatting sqref="E7:E15;I7:I15;M7:M15;Q7:Q15;U7:U15">
    <cfRule type="expression" dxfId="24" priority="2">
      <formula>AND(E7=0,C7=13)</formula>
    </cfRule>
  </conditionalFormatting>
  <conditionalFormatting sqref="G7:J15">
    <cfRule type="expression" dxfId="5" priority="12">
      <formula>IF(AND(ISNUMBER($G7),$G7=$I7),TRUE)</formula>
    </cfRule>
    <cfRule type="expression" dxfId="7" priority="17">
      <formula>IF($G7&gt;$I7,TRUE)</formula>
    </cfRule>
    <cfRule type="expression" dxfId="23" priority="18">
      <formula>IF($G7&lt;$I7,TRUE)</formula>
    </cfRule>
  </conditionalFormatting>
  <conditionalFormatting sqref="K7:N15">
    <cfRule type="expression" dxfId="5" priority="10">
      <formula>IF(AND(ISNUMBER($K7),$K7=$M7),TRUE)</formula>
    </cfRule>
    <cfRule type="expression" dxfId="7" priority="21">
      <formula>IF($K7&gt;$M7,TRUE)</formula>
    </cfRule>
    <cfRule type="expression" dxfId="23" priority="22">
      <formula>IF($K7&lt;$M7,TRUE)</formula>
    </cfRule>
  </conditionalFormatting>
  <conditionalFormatting sqref="O7:R15">
    <cfRule type="expression" dxfId="5" priority="9">
      <formula>IF(AND(ISNUMBER($O7),$O7=$Q7),TRUE)</formula>
    </cfRule>
    <cfRule type="expression" dxfId="7" priority="25">
      <formula>IF($O7&gt;$Q7,TRUE)</formula>
    </cfRule>
    <cfRule type="expression" dxfId="23" priority="26">
      <formula>IF($O7&lt;$Q7,TRUE)</formula>
    </cfRule>
  </conditionalFormatting>
  <conditionalFormatting sqref="S7:V15">
    <cfRule type="expression" dxfId="5" priority="8">
      <formula>IF(AND(ISNUMBER($S7),$S7=$U7),TRUE)</formula>
    </cfRule>
    <cfRule type="expression" dxfId="7" priority="29">
      <formula>IF($S7&gt;$U7,TRUE)</formula>
    </cfRule>
    <cfRule type="expression" dxfId="23" priority="30">
      <formula>IF($S7&lt;$U7,TRUE)</formula>
    </cfRule>
  </conditionalFormatting>
  <conditionalFormatting sqref="AJ7:AJ15;AH7:AH15;AL7:AL15">
    <cfRule type="expression" dxfId="25" priority="36">
      <formula>AND(AG7="",FIND(",",AH7))</formula>
    </cfRule>
    <cfRule type="expression" dxfId="22" priority="38">
      <formula>AND(AG7="",COUNTIF(AH7,"*,*")=0)</formula>
    </cfRule>
  </conditionalFormatting>
  <conditionalFormatting sqref="AN7:AN15;AP7:AP15">
    <cfRule type="expression" dxfId="22" priority="34">
      <formula>AND(AM7="",COUNTIF(AN7,"*,*")=0)</formula>
    </cfRule>
    <cfRule type="expression" dxfId="25" priority="35">
      <formula>AND(AM7="",FIND(",",AN7))</formula>
    </cfRule>
  </conditionalFormatting>
  <pageMargins left="0.393700787401575" right="0.393700787401575" top="0.78740157480315" bottom="0.393700787401575" header="0.78740157480315" footer="0"/>
  <pageSetup paperSize="9" fitToHeight="0" orientation="landscape" verticalDpi="1200"/>
  <headerFooter>
    <oddHeader>&amp;R&amp;P. leht &amp;N&amp; -st</oddHead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CCFFCC"/>
    <pageSetUpPr fitToPage="1"/>
  </sheetPr>
  <dimension ref="A1:AP313"/>
  <sheetViews>
    <sheetView showGridLines="0" showRowColHeaders="0" workbookViewId="0">
      <pane ySplit="1" topLeftCell="A2" activePane="bottomLeft" state="frozen"/>
      <selection/>
      <selection pane="bottomLeft" activeCell="A5" sqref="A5"/>
    </sheetView>
  </sheetViews>
  <sheetFormatPr defaultColWidth="9" defaultRowHeight="12.3"/>
  <cols>
    <col min="1" max="1" width="3.28828828828829" style="3" customWidth="1"/>
    <col min="2" max="2" width="28.1621621621622" style="3" customWidth="1"/>
    <col min="3" max="3" width="4.71171171171171" style="3" customWidth="1"/>
    <col min="4" max="4" width="1.14414414414414" style="3" customWidth="1"/>
    <col min="5" max="5" width="2.71171171171171" style="3" customWidth="1"/>
    <col min="6" max="6" width="9.14414414414414" style="3"/>
    <col min="7" max="7" width="2.71171171171171" style="3" customWidth="1"/>
    <col min="8" max="8" width="1.14414414414414" style="3" customWidth="1"/>
    <col min="9" max="9" width="2.71171171171171" style="3" customWidth="1"/>
    <col min="10" max="10" width="9.14414414414414" style="3"/>
    <col min="11" max="11" width="2.71171171171171" style="3" customWidth="1"/>
    <col min="12" max="12" width="1.14414414414414" style="3" customWidth="1"/>
    <col min="13" max="13" width="2.71171171171171" style="3" customWidth="1"/>
    <col min="14" max="14" width="9.14414414414414" style="3"/>
    <col min="15" max="15" width="2.71171171171171" style="3" customWidth="1"/>
    <col min="16" max="16" width="1.14414414414414" style="3" customWidth="1"/>
    <col min="17" max="17" width="2.71171171171171" style="3" customWidth="1"/>
    <col min="18" max="18" width="9.14414414414414" style="3"/>
    <col min="19" max="19" width="2.71171171171171" style="3" hidden="1" customWidth="1"/>
    <col min="20" max="20" width="1.14414414414414" style="3" hidden="1" customWidth="1"/>
    <col min="21" max="21" width="2.71171171171171" style="3" hidden="1" customWidth="1"/>
    <col min="22" max="22" width="9" style="3" hidden="1" customWidth="1"/>
    <col min="23" max="23" width="5.71171171171171" style="3" customWidth="1"/>
    <col min="24" max="24" width="5.56756756756757" style="3" customWidth="1"/>
    <col min="25" max="25" width="7.42342342342342" style="3" hidden="1" customWidth="1"/>
    <col min="26" max="26" width="2.71171171171171" style="3" customWidth="1"/>
    <col min="27" max="27" width="1.14414414414414" style="3" customWidth="1"/>
    <col min="28" max="28" width="2.71171171171171" style="3" customWidth="1"/>
    <col min="29" max="29" width="4.71171171171171" style="3" customWidth="1"/>
    <col min="30" max="31" width="9.14414414414414" style="3" hidden="1" customWidth="1"/>
    <col min="32" max="32" width="17.3243243243243" style="3" hidden="1" customWidth="1"/>
    <col min="33" max="33" width="9.14414414414414" style="3" hidden="1" customWidth="1"/>
    <col min="34" max="34" width="15.6126126126126" style="3" hidden="1" customWidth="1"/>
    <col min="35" max="35" width="9.14414414414414" style="3" hidden="1" customWidth="1"/>
    <col min="36" max="36" width="17.2882882882883" style="3" hidden="1" customWidth="1"/>
    <col min="37" max="37" width="9.14414414414414" style="3" hidden="1" customWidth="1"/>
    <col min="38" max="38" width="13.8558558558559" style="3" hidden="1" customWidth="1"/>
    <col min="39" max="39" width="9.14414414414414" style="3" hidden="1" customWidth="1"/>
    <col min="40" max="40" width="17.2882882882883" style="3" hidden="1" customWidth="1"/>
    <col min="41" max="41" width="9.14414414414414" style="3" hidden="1" customWidth="1"/>
    <col min="42" max="42" width="13.8558558558559" style="3" hidden="1" customWidth="1"/>
    <col min="43" max="16384" width="9.14414414414414" style="3"/>
  </cols>
  <sheetData>
    <row r="1" spans="1:42">
      <c r="A1" s="4" t="str">
        <f>UPPER((Kalend!E8)&amp;" - "&amp;(Kalend!C8))&amp;" - "&amp;LOWER(Kalend!D8)&amp;" - "&amp;(Kalend!A8)&amp;" kell "&amp;(Kalend!B8)&amp;" - "&amp;(Kalend!F8)</f>
        <v>V2 - VOKA XI KV 2. ETAPP - duo - T, 14.05.2024 kell 18:00 - Voka staadion</v>
      </c>
      <c r="O1" s="6"/>
      <c r="P1" s="6"/>
      <c r="Q1" s="20"/>
      <c r="R1" s="20"/>
      <c r="S1" s="20"/>
      <c r="T1" s="21"/>
      <c r="U1" s="21"/>
      <c r="V1" s="21"/>
      <c r="W1" s="6"/>
      <c r="X1" s="22"/>
      <c r="Y1" s="6"/>
      <c r="Z1" s="6"/>
      <c r="AD1" s="30" t="s">
        <v>149</v>
      </c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47"/>
      <c r="AP1" s="47"/>
    </row>
    <row r="2" spans="1:40">
      <c r="A2" s="5"/>
      <c r="F2" s="6"/>
      <c r="L2" s="19"/>
      <c r="M2" s="19"/>
      <c r="N2" s="19"/>
      <c r="O2" s="6"/>
      <c r="P2" s="6"/>
      <c r="Q2" s="6"/>
      <c r="R2" s="23" t="s">
        <v>322</v>
      </c>
      <c r="S2" s="6"/>
      <c r="T2" s="19"/>
      <c r="U2" s="19"/>
      <c r="V2" s="19"/>
      <c r="W2" s="24">
        <v>1</v>
      </c>
      <c r="X2" s="6" t="s">
        <v>323</v>
      </c>
      <c r="Y2" s="6"/>
      <c r="Z2" s="6"/>
      <c r="AA2" s="6"/>
      <c r="AB2" s="6"/>
      <c r="AE2" s="6"/>
      <c r="AG2" s="6"/>
      <c r="AH2" s="6"/>
      <c r="AI2" s="6"/>
      <c r="AJ2" s="6"/>
      <c r="AK2" s="6"/>
      <c r="AL2" s="6"/>
      <c r="AM2" s="6"/>
      <c r="AN2" s="6"/>
    </row>
    <row r="3" spans="1:42">
      <c r="A3" s="5"/>
      <c r="F3" s="6"/>
      <c r="L3" s="6"/>
      <c r="M3" s="6"/>
      <c r="N3" s="6"/>
      <c r="O3" s="6"/>
      <c r="P3" s="6"/>
      <c r="Q3" s="6"/>
      <c r="R3" s="25" t="s">
        <v>324</v>
      </c>
      <c r="S3" s="6"/>
      <c r="T3" s="6"/>
      <c r="U3" s="6"/>
      <c r="V3" s="6"/>
      <c r="W3" s="24">
        <v>0.5</v>
      </c>
      <c r="X3" s="6" t="s">
        <v>325</v>
      </c>
      <c r="Y3" s="6"/>
      <c r="Z3" s="6"/>
      <c r="AA3" s="6"/>
      <c r="AB3" s="6"/>
      <c r="AE3" s="19"/>
      <c r="AF3" s="19"/>
      <c r="AG3" s="19"/>
      <c r="AH3" s="44"/>
      <c r="AI3" s="19"/>
      <c r="AJ3" s="19"/>
      <c r="AK3" s="19"/>
      <c r="AL3" s="19"/>
      <c r="AM3" s="19"/>
      <c r="AN3" s="19"/>
      <c r="AO3" s="19"/>
      <c r="AP3" s="19"/>
    </row>
    <row r="4" spans="6:28">
      <c r="F4" s="6"/>
      <c r="L4" s="6"/>
      <c r="M4" s="6"/>
      <c r="N4" s="6"/>
      <c r="O4" s="6"/>
      <c r="P4" s="6"/>
      <c r="Q4" s="6"/>
      <c r="R4" s="26" t="s">
        <v>326</v>
      </c>
      <c r="S4" s="6"/>
      <c r="T4" s="6"/>
      <c r="U4" s="6"/>
      <c r="V4" s="6"/>
      <c r="W4" s="24">
        <v>0</v>
      </c>
      <c r="X4" s="6" t="s">
        <v>325</v>
      </c>
      <c r="Y4" s="6"/>
      <c r="Z4" s="6"/>
      <c r="AA4" s="6"/>
      <c r="AB4" s="6"/>
    </row>
    <row r="5" spans="6:30">
      <c r="F5" s="6"/>
      <c r="L5" s="6"/>
      <c r="M5" s="6"/>
      <c r="N5" s="6"/>
      <c r="O5" s="6"/>
      <c r="P5" s="6"/>
      <c r="Q5" s="6"/>
      <c r="R5" s="6"/>
      <c r="S5" s="6"/>
      <c r="T5" s="6"/>
      <c r="U5" s="6"/>
      <c r="W5" s="6"/>
      <c r="X5" s="6"/>
      <c r="Y5" s="6"/>
      <c r="Z5" s="6"/>
      <c r="AA5" s="6"/>
      <c r="AB5" s="32" t="s">
        <v>327</v>
      </c>
      <c r="AD5" s="33" t="s">
        <v>328</v>
      </c>
    </row>
    <row r="6" spans="1:42">
      <c r="A6" s="7" t="s">
        <v>329</v>
      </c>
      <c r="B6" s="7" t="s">
        <v>180</v>
      </c>
      <c r="C6" s="8" t="s">
        <v>330</v>
      </c>
      <c r="D6" s="9"/>
      <c r="E6" s="9"/>
      <c r="F6" s="10"/>
      <c r="G6" s="8" t="s">
        <v>331</v>
      </c>
      <c r="H6" s="9"/>
      <c r="I6" s="9"/>
      <c r="J6" s="10"/>
      <c r="K6" s="8" t="s">
        <v>332</v>
      </c>
      <c r="L6" s="9"/>
      <c r="M6" s="9"/>
      <c r="N6" s="10"/>
      <c r="O6" s="8" t="s">
        <v>333</v>
      </c>
      <c r="P6" s="9"/>
      <c r="Q6" s="9"/>
      <c r="R6" s="10"/>
      <c r="S6" s="8" t="s">
        <v>334</v>
      </c>
      <c r="T6" s="9"/>
      <c r="U6" s="9"/>
      <c r="V6" s="10"/>
      <c r="W6" s="7" t="s">
        <v>162</v>
      </c>
      <c r="X6" s="27" t="s">
        <v>335</v>
      </c>
      <c r="Y6" s="7" t="s">
        <v>336</v>
      </c>
      <c r="Z6" s="27"/>
      <c r="AA6" s="34" t="s">
        <v>337</v>
      </c>
      <c r="AB6" s="35"/>
      <c r="AC6" s="36" t="s">
        <v>338</v>
      </c>
      <c r="AD6" s="37" t="s">
        <v>168</v>
      </c>
      <c r="AE6" s="38"/>
      <c r="AF6" s="38" t="s">
        <v>339</v>
      </c>
      <c r="AG6" s="38"/>
      <c r="AH6" s="45" t="s">
        <v>340</v>
      </c>
      <c r="AI6" s="38"/>
      <c r="AJ6" s="38" t="s">
        <v>341</v>
      </c>
      <c r="AK6" s="46"/>
      <c r="AL6" s="38" t="s">
        <v>342</v>
      </c>
      <c r="AM6" s="46"/>
      <c r="AN6" s="46" t="s">
        <v>343</v>
      </c>
      <c r="AO6" s="48"/>
      <c r="AP6" s="46" t="s">
        <v>344</v>
      </c>
    </row>
    <row r="7" spans="1:42">
      <c r="A7" s="11">
        <v>1</v>
      </c>
      <c r="B7" s="16" t="s">
        <v>369</v>
      </c>
      <c r="C7" s="13">
        <v>13</v>
      </c>
      <c r="D7" s="14" t="s">
        <v>346</v>
      </c>
      <c r="E7" s="14">
        <v>1</v>
      </c>
      <c r="F7" s="15" t="s">
        <v>353</v>
      </c>
      <c r="G7" s="13">
        <v>13</v>
      </c>
      <c r="H7" s="14" t="s">
        <v>346</v>
      </c>
      <c r="I7" s="14">
        <v>5</v>
      </c>
      <c r="J7" s="15" t="s">
        <v>370</v>
      </c>
      <c r="K7" s="13">
        <v>13</v>
      </c>
      <c r="L7" s="14" t="s">
        <v>346</v>
      </c>
      <c r="M7" s="14">
        <v>6</v>
      </c>
      <c r="N7" s="15" t="s">
        <v>360</v>
      </c>
      <c r="O7" s="13">
        <v>13</v>
      </c>
      <c r="P7" s="14" t="s">
        <v>346</v>
      </c>
      <c r="Q7" s="14">
        <v>4</v>
      </c>
      <c r="R7" s="15" t="s">
        <v>371</v>
      </c>
      <c r="S7" s="13"/>
      <c r="T7" s="14"/>
      <c r="U7" s="14"/>
      <c r="V7" s="15"/>
      <c r="W7" s="28">
        <f t="shared" ref="W7:W21" si="0">IF(C7&gt;E7,W$2,IF(C7&lt;E7,W$4,IF(ISNUMBER(C7),W$3,0)))+IF(G7&gt;I7,W$2,IF(G7&lt;I7,W$4,IF(ISNUMBER(G7),W$3,0)))+IF(K7&gt;M7,W$2,IF(K7&lt;M7,W$4,IF(ISNUMBER(K7),W$3,0)))+IF(O7&gt;Q7,W$2,IF(O7&lt;Q7,W$4,IF(ISNUMBER(O7),W$3,0)))+IF(S7&gt;U7,W$2,IF(S7&lt;U7,W$4,IF(ISNUMBER(S7),W$3,0)))</f>
        <v>4</v>
      </c>
      <c r="X7" s="29">
        <v>16</v>
      </c>
      <c r="Y7" s="29"/>
      <c r="Z7" s="13">
        <f t="shared" ref="Z7:Z19" si="1">C7+G7+K7+O7+S7</f>
        <v>52</v>
      </c>
      <c r="AA7" s="14" t="s">
        <v>346</v>
      </c>
      <c r="AB7" s="39">
        <f t="shared" ref="AB7:AB19" si="2">E7+I7+M7+Q7+U7</f>
        <v>16</v>
      </c>
      <c r="AC7" s="40">
        <f t="shared" ref="AC7:AC19" si="3">Z7-AB7</f>
        <v>36</v>
      </c>
      <c r="AD7" s="41">
        <f t="shared" ref="AD7:AD10" si="4">SUM(AE7:AL7)</f>
        <v>320</v>
      </c>
      <c r="AE7" s="42">
        <f>IFERROR(INDEX(V!$R:$R,MATCH(AF7,V!$L:$L,0)),"")</f>
        <v>150</v>
      </c>
      <c r="AF7" s="43" t="str">
        <f t="shared" ref="AF7:AF21" si="5">IFERROR(LEFT($B7,(FIND(",",$B7,1)-1)),"")</f>
        <v>Henri Mitt</v>
      </c>
      <c r="AG7" s="42">
        <f>IFERROR(INDEX(V!$R:$R,MATCH(AH7,V!$L:$L,0)),"")</f>
        <v>170</v>
      </c>
      <c r="AH7" s="43" t="str">
        <f t="shared" ref="AH7:AH21" si="6">IFERROR(MID($B7,FIND(", ",$B7)+2,256),"")</f>
        <v>Tõnis Neiland</v>
      </c>
      <c r="AI7" s="42" t="str">
        <f>IFERROR(INDEX(V!$R:$R,MATCH(AJ7,V!$L:$L,0)),"")</f>
        <v/>
      </c>
      <c r="AJ7" s="43" t="str">
        <f t="shared" ref="AJ7:AJ21" si="7">IFERROR(MID($B7,FIND("^",SUBSTITUTE($B7,", ","^",1))+2,FIND("^",SUBSTITUTE($B7,", ","^",2))-FIND("^",SUBSTITUTE($B7,", ","^",1))-2),"")</f>
        <v/>
      </c>
      <c r="AK7" s="42" t="str">
        <f>IFERROR(INDEX(V!$R:$R,MATCH(AL7,V!$L:$L,0)),"")</f>
        <v/>
      </c>
      <c r="AL7" s="43" t="str">
        <f t="shared" ref="AL7:AL21" si="8">IFERROR(MID($B7,FIND(", ",$B7,FIND(", ",$B7,FIND(", ",$B7))+1)+2,30000),"")</f>
        <v/>
      </c>
      <c r="AM7" s="42" t="str">
        <f>IFERROR(INDEX(V!$R:$R,MATCH(AN7,V!$L:$L,0)),"")</f>
        <v/>
      </c>
      <c r="AN7" s="43" t="str">
        <f t="shared" ref="AN7:AN21" si="9">IFERROR(MID($B7,FIND(", ",$B7,FIND(", ",$B7)+1)+2,FIND(", ",$B7,FIND(", ",$B7,FIND(", ",$B7)+1)+1)-FIND(", ",$B7,FIND(", ",$B7)+1)-2),"")</f>
        <v/>
      </c>
      <c r="AO7" s="42" t="str">
        <f>IFERROR(INDEX(V!$R:$R,MATCH(AP7,V!$L:$L,0)),"")</f>
        <v/>
      </c>
      <c r="AP7" s="43" t="str">
        <f t="shared" ref="AP7:AP21" si="10">IFERROR(MID($B7,FIND(", ",$B7,FIND(", ",$B7,FIND(", ",$B7)+1)+1)+2,30000),"")</f>
        <v/>
      </c>
    </row>
    <row r="8" spans="1:42">
      <c r="A8" s="11">
        <v>2</v>
      </c>
      <c r="B8" s="16" t="s">
        <v>360</v>
      </c>
      <c r="C8" s="13">
        <v>13</v>
      </c>
      <c r="D8" s="14" t="s">
        <v>346</v>
      </c>
      <c r="E8" s="14">
        <v>6</v>
      </c>
      <c r="F8" s="15" t="s">
        <v>372</v>
      </c>
      <c r="G8" s="13">
        <v>13</v>
      </c>
      <c r="H8" s="14" t="s">
        <v>346</v>
      </c>
      <c r="I8" s="14">
        <v>4</v>
      </c>
      <c r="J8" s="15" t="s">
        <v>359</v>
      </c>
      <c r="K8" s="13">
        <v>6</v>
      </c>
      <c r="L8" s="14" t="s">
        <v>346</v>
      </c>
      <c r="M8" s="14">
        <v>13</v>
      </c>
      <c r="N8" s="15" t="s">
        <v>369</v>
      </c>
      <c r="O8" s="13">
        <v>12</v>
      </c>
      <c r="P8" s="14" t="s">
        <v>346</v>
      </c>
      <c r="Q8" s="14">
        <v>8</v>
      </c>
      <c r="R8" s="15" t="s">
        <v>373</v>
      </c>
      <c r="S8" s="13"/>
      <c r="T8" s="14"/>
      <c r="U8" s="14"/>
      <c r="V8" s="15"/>
      <c r="W8" s="28">
        <f t="shared" si="0"/>
        <v>3</v>
      </c>
      <c r="X8" s="29">
        <v>20</v>
      </c>
      <c r="Y8" s="29"/>
      <c r="Z8" s="13">
        <f t="shared" si="1"/>
        <v>44</v>
      </c>
      <c r="AA8" s="14" t="s">
        <v>346</v>
      </c>
      <c r="AB8" s="39">
        <f t="shared" si="2"/>
        <v>31</v>
      </c>
      <c r="AC8" s="40">
        <f t="shared" si="3"/>
        <v>13</v>
      </c>
      <c r="AD8" s="41">
        <f t="shared" si="4"/>
        <v>292</v>
      </c>
      <c r="AE8" s="42">
        <f>IFERROR(INDEX(V!$R:$R,MATCH(AF8,V!$L:$L,0)),"")</f>
        <v>146</v>
      </c>
      <c r="AF8" s="43" t="str">
        <f t="shared" si="5"/>
        <v>Meelis Luud</v>
      </c>
      <c r="AG8" s="42">
        <f>IFERROR(INDEX(V!$R:$R,MATCH(AH8,V!$L:$L,0)),"")</f>
        <v>146</v>
      </c>
      <c r="AH8" s="43" t="str">
        <f t="shared" si="6"/>
        <v>Sander Rose</v>
      </c>
      <c r="AI8" s="42" t="str">
        <f>IFERROR(INDEX(V!$R:$R,MATCH(AJ8,V!$L:$L,0)),"")</f>
        <v/>
      </c>
      <c r="AJ8" s="43" t="str">
        <f t="shared" si="7"/>
        <v/>
      </c>
      <c r="AK8" s="42" t="str">
        <f>IFERROR(INDEX(V!$R:$R,MATCH(AL8,V!$L:$L,0)),"")</f>
        <v/>
      </c>
      <c r="AL8" s="43" t="str">
        <f t="shared" si="8"/>
        <v/>
      </c>
      <c r="AM8" s="42" t="str">
        <f>IFERROR(INDEX(V!$R:$R,MATCH(AN8,V!$L:$L,0)),"")</f>
        <v/>
      </c>
      <c r="AN8" s="43" t="str">
        <f t="shared" si="9"/>
        <v/>
      </c>
      <c r="AO8" s="42" t="str">
        <f>IFERROR(INDEX(V!$R:$R,MATCH(AP8,V!$L:$L,0)),"")</f>
        <v/>
      </c>
      <c r="AP8" s="43" t="str">
        <f t="shared" si="10"/>
        <v/>
      </c>
    </row>
    <row r="9" spans="1:42">
      <c r="A9" s="11">
        <v>3</v>
      </c>
      <c r="B9" s="17" t="s">
        <v>366</v>
      </c>
      <c r="C9" s="13">
        <v>13</v>
      </c>
      <c r="D9" s="14" t="s">
        <v>346</v>
      </c>
      <c r="E9" s="14">
        <v>9</v>
      </c>
      <c r="F9" s="15" t="s">
        <v>371</v>
      </c>
      <c r="G9" s="13">
        <v>10</v>
      </c>
      <c r="H9" s="14" t="s">
        <v>346</v>
      </c>
      <c r="I9" s="14">
        <v>13</v>
      </c>
      <c r="J9" s="15" t="s">
        <v>362</v>
      </c>
      <c r="K9" s="13">
        <v>9</v>
      </c>
      <c r="L9" s="14" t="s">
        <v>346</v>
      </c>
      <c r="M9" s="14">
        <v>8</v>
      </c>
      <c r="N9" s="15" t="s">
        <v>372</v>
      </c>
      <c r="O9" s="13">
        <v>13</v>
      </c>
      <c r="P9" s="14" t="s">
        <v>346</v>
      </c>
      <c r="Q9" s="14">
        <v>4</v>
      </c>
      <c r="R9" s="15" t="s">
        <v>359</v>
      </c>
      <c r="S9" s="13"/>
      <c r="T9" s="14"/>
      <c r="U9" s="14"/>
      <c r="V9" s="15"/>
      <c r="W9" s="28">
        <f t="shared" si="0"/>
        <v>3</v>
      </c>
      <c r="X9" s="29">
        <v>16</v>
      </c>
      <c r="Y9" s="29"/>
      <c r="Z9" s="13">
        <f t="shared" si="1"/>
        <v>45</v>
      </c>
      <c r="AA9" s="14" t="s">
        <v>346</v>
      </c>
      <c r="AB9" s="39">
        <f t="shared" si="2"/>
        <v>34</v>
      </c>
      <c r="AC9" s="40">
        <f t="shared" si="3"/>
        <v>11</v>
      </c>
      <c r="AD9" s="41">
        <f t="shared" si="4"/>
        <v>136</v>
      </c>
      <c r="AE9" s="42">
        <f>IFERROR(INDEX(V!$R:$R,MATCH(AF9,V!$L:$L,0)),"")</f>
        <v>34</v>
      </c>
      <c r="AF9" s="43" t="str">
        <f t="shared" si="5"/>
        <v>Boriss Klubov</v>
      </c>
      <c r="AG9" s="42">
        <f>IFERROR(INDEX(V!$R:$R,MATCH(AH9,V!$L:$L,0)),"")</f>
        <v>102</v>
      </c>
      <c r="AH9" s="43" t="str">
        <f t="shared" si="6"/>
        <v>Elmo Lageda</v>
      </c>
      <c r="AI9" s="42" t="str">
        <f>IFERROR(INDEX(V!$R:$R,MATCH(AJ9,V!$L:$L,0)),"")</f>
        <v/>
      </c>
      <c r="AJ9" s="43" t="str">
        <f t="shared" si="7"/>
        <v/>
      </c>
      <c r="AK9" s="42" t="str">
        <f>IFERROR(INDEX(V!$R:$R,MATCH(AL9,V!$L:$L,0)),"")</f>
        <v/>
      </c>
      <c r="AL9" s="43" t="str">
        <f t="shared" si="8"/>
        <v/>
      </c>
      <c r="AM9" s="42" t="str">
        <f>IFERROR(INDEX(V!$R:$R,MATCH(AN9,V!$L:$L,0)),"")</f>
        <v/>
      </c>
      <c r="AN9" s="43" t="str">
        <f t="shared" si="9"/>
        <v/>
      </c>
      <c r="AO9" s="42" t="str">
        <f>IFERROR(INDEX(V!$R:$R,MATCH(AP9,V!$L:$L,0)),"")</f>
        <v/>
      </c>
      <c r="AP9" s="43" t="str">
        <f t="shared" si="10"/>
        <v/>
      </c>
    </row>
    <row r="10" spans="1:42">
      <c r="A10" s="11">
        <v>4</v>
      </c>
      <c r="B10" s="17" t="s">
        <v>363</v>
      </c>
      <c r="C10" s="13">
        <v>8</v>
      </c>
      <c r="D10" s="14" t="s">
        <v>346</v>
      </c>
      <c r="E10" s="14">
        <v>12</v>
      </c>
      <c r="F10" s="15" t="s">
        <v>373</v>
      </c>
      <c r="G10" s="13">
        <v>13</v>
      </c>
      <c r="H10" s="14" t="s">
        <v>346</v>
      </c>
      <c r="I10" s="14">
        <v>3</v>
      </c>
      <c r="J10" s="15" t="s">
        <v>374</v>
      </c>
      <c r="K10" s="13">
        <v>13</v>
      </c>
      <c r="L10" s="14" t="s">
        <v>346</v>
      </c>
      <c r="M10" s="14">
        <v>10</v>
      </c>
      <c r="N10" s="15" t="s">
        <v>354</v>
      </c>
      <c r="O10" s="13">
        <v>13</v>
      </c>
      <c r="P10" s="14" t="s">
        <v>346</v>
      </c>
      <c r="Q10" s="14">
        <v>10</v>
      </c>
      <c r="R10" s="15" t="s">
        <v>362</v>
      </c>
      <c r="S10" s="13"/>
      <c r="T10" s="14"/>
      <c r="U10" s="14"/>
      <c r="V10" s="15"/>
      <c r="W10" s="28">
        <f t="shared" si="0"/>
        <v>3</v>
      </c>
      <c r="X10" s="29">
        <v>10</v>
      </c>
      <c r="Y10" s="29"/>
      <c r="Z10" s="13">
        <f t="shared" si="1"/>
        <v>47</v>
      </c>
      <c r="AA10" s="14" t="s">
        <v>346</v>
      </c>
      <c r="AB10" s="39">
        <f t="shared" si="2"/>
        <v>35</v>
      </c>
      <c r="AC10" s="40">
        <f t="shared" si="3"/>
        <v>12</v>
      </c>
      <c r="AD10" s="41">
        <f t="shared" si="4"/>
        <v>184</v>
      </c>
      <c r="AE10" s="42">
        <f>IFERROR(INDEX(V!$R:$R,MATCH(AF10,V!$L:$L,0)),"")</f>
        <v>96</v>
      </c>
      <c r="AF10" s="43" t="str">
        <f t="shared" si="5"/>
        <v>Andrei Grintšak</v>
      </c>
      <c r="AG10" s="42">
        <f>IFERROR(INDEX(V!$R:$R,MATCH(AH10,V!$L:$L,0)),"")</f>
        <v>88</v>
      </c>
      <c r="AH10" s="43" t="str">
        <f t="shared" si="6"/>
        <v>Enn Tokman</v>
      </c>
      <c r="AI10" s="42" t="str">
        <f>IFERROR(INDEX(V!$R:$R,MATCH(AJ10,V!$L:$L,0)),"")</f>
        <v/>
      </c>
      <c r="AJ10" s="43" t="str">
        <f t="shared" si="7"/>
        <v/>
      </c>
      <c r="AK10" s="42" t="str">
        <f>IFERROR(INDEX(V!$R:$R,MATCH(AL10,V!$L:$L,0)),"")</f>
        <v/>
      </c>
      <c r="AL10" s="43" t="str">
        <f t="shared" si="8"/>
        <v/>
      </c>
      <c r="AM10" s="42" t="str">
        <f>IFERROR(INDEX(V!$R:$R,MATCH(AN10,V!$L:$L,0)),"")</f>
        <v/>
      </c>
      <c r="AN10" s="43" t="str">
        <f t="shared" si="9"/>
        <v/>
      </c>
      <c r="AO10" s="42" t="str">
        <f>IFERROR(INDEX(V!$R:$R,MATCH(AP10,V!$L:$L,0)),"")</f>
        <v/>
      </c>
      <c r="AP10" s="43" t="str">
        <f t="shared" si="10"/>
        <v/>
      </c>
    </row>
    <row r="11" spans="1:42">
      <c r="A11" s="11">
        <v>5</v>
      </c>
      <c r="B11" s="16" t="s">
        <v>371</v>
      </c>
      <c r="C11" s="13">
        <v>9</v>
      </c>
      <c r="D11" s="14" t="s">
        <v>346</v>
      </c>
      <c r="E11" s="14">
        <v>13</v>
      </c>
      <c r="F11" s="15" t="s">
        <v>366</v>
      </c>
      <c r="G11" s="13">
        <v>13</v>
      </c>
      <c r="H11" s="14" t="s">
        <v>346</v>
      </c>
      <c r="I11" s="14">
        <v>6</v>
      </c>
      <c r="J11" s="15" t="s">
        <v>373</v>
      </c>
      <c r="K11" s="13">
        <v>13</v>
      </c>
      <c r="L11" s="14" t="s">
        <v>346</v>
      </c>
      <c r="M11" s="14">
        <v>5</v>
      </c>
      <c r="N11" s="15" t="s">
        <v>362</v>
      </c>
      <c r="O11" s="13">
        <v>4</v>
      </c>
      <c r="P11" s="14" t="s">
        <v>346</v>
      </c>
      <c r="Q11" s="14">
        <v>13</v>
      </c>
      <c r="R11" s="15" t="s">
        <v>369</v>
      </c>
      <c r="S11" s="13"/>
      <c r="T11" s="14"/>
      <c r="U11" s="14"/>
      <c r="V11" s="15"/>
      <c r="W11" s="28">
        <f t="shared" si="0"/>
        <v>2</v>
      </c>
      <c r="X11" s="29">
        <v>22</v>
      </c>
      <c r="Y11" s="29"/>
      <c r="Z11" s="13">
        <f t="shared" si="1"/>
        <v>39</v>
      </c>
      <c r="AA11" s="14" t="s">
        <v>346</v>
      </c>
      <c r="AB11" s="39">
        <f t="shared" si="2"/>
        <v>37</v>
      </c>
      <c r="AC11" s="40">
        <f t="shared" si="3"/>
        <v>2</v>
      </c>
      <c r="AD11" s="41">
        <f t="shared" ref="AD11:AD13" si="11">SUM(AE11:AL11)</f>
        <v>202</v>
      </c>
      <c r="AE11" s="42">
        <f>IFERROR(INDEX(V!$R:$R,MATCH(AF11,V!$L:$L,0)),"")</f>
        <v>104</v>
      </c>
      <c r="AF11" s="43" t="str">
        <f t="shared" si="5"/>
        <v>Andres Veski</v>
      </c>
      <c r="AG11" s="42">
        <f>IFERROR(INDEX(V!$R:$R,MATCH(AH11,V!$L:$L,0)),"")</f>
        <v>98</v>
      </c>
      <c r="AH11" s="43" t="str">
        <f t="shared" si="6"/>
        <v>Sirje Maala</v>
      </c>
      <c r="AI11" s="42" t="str">
        <f>IFERROR(INDEX(V!$R:$R,MATCH(AJ11,V!$L:$L,0)),"")</f>
        <v/>
      </c>
      <c r="AJ11" s="43" t="str">
        <f t="shared" si="7"/>
        <v/>
      </c>
      <c r="AK11" s="42" t="str">
        <f>IFERROR(INDEX(V!$R:$R,MATCH(AL11,V!$L:$L,0)),"")</f>
        <v/>
      </c>
      <c r="AL11" s="43" t="str">
        <f t="shared" si="8"/>
        <v/>
      </c>
      <c r="AM11" s="42" t="str">
        <f>IFERROR(INDEX(V!$R:$R,MATCH(AN11,V!$L:$L,0)),"")</f>
        <v/>
      </c>
      <c r="AN11" s="43" t="str">
        <f t="shared" si="9"/>
        <v/>
      </c>
      <c r="AO11" s="42" t="str">
        <f>IFERROR(INDEX(V!$R:$R,MATCH(AP11,V!$L:$L,0)),"")</f>
        <v/>
      </c>
      <c r="AP11" s="43" t="str">
        <f t="shared" si="10"/>
        <v/>
      </c>
    </row>
    <row r="12" spans="1:42">
      <c r="A12" s="11">
        <v>6</v>
      </c>
      <c r="B12" s="17" t="s">
        <v>373</v>
      </c>
      <c r="C12" s="13">
        <v>12</v>
      </c>
      <c r="D12" s="14" t="s">
        <v>346</v>
      </c>
      <c r="E12" s="14">
        <v>8</v>
      </c>
      <c r="F12" s="15" t="s">
        <v>363</v>
      </c>
      <c r="G12" s="13">
        <v>6</v>
      </c>
      <c r="H12" s="14" t="s">
        <v>346</v>
      </c>
      <c r="I12" s="14">
        <v>13</v>
      </c>
      <c r="J12" s="15" t="s">
        <v>371</v>
      </c>
      <c r="K12" s="13">
        <v>13</v>
      </c>
      <c r="L12" s="14" t="s">
        <v>346</v>
      </c>
      <c r="M12" s="14">
        <v>7</v>
      </c>
      <c r="N12" s="15" t="s">
        <v>353</v>
      </c>
      <c r="O12" s="13">
        <v>8</v>
      </c>
      <c r="P12" s="14" t="s">
        <v>346</v>
      </c>
      <c r="Q12" s="14">
        <v>12</v>
      </c>
      <c r="R12" s="15" t="s">
        <v>360</v>
      </c>
      <c r="S12" s="13"/>
      <c r="T12" s="14"/>
      <c r="U12" s="14"/>
      <c r="V12" s="15"/>
      <c r="W12" s="28">
        <f t="shared" si="0"/>
        <v>2</v>
      </c>
      <c r="X12" s="29">
        <v>18</v>
      </c>
      <c r="Y12" s="29"/>
      <c r="Z12" s="13">
        <f t="shared" si="1"/>
        <v>39</v>
      </c>
      <c r="AA12" s="14" t="s">
        <v>346</v>
      </c>
      <c r="AB12" s="39">
        <f t="shared" si="2"/>
        <v>40</v>
      </c>
      <c r="AC12" s="40">
        <f t="shared" si="3"/>
        <v>-1</v>
      </c>
      <c r="AD12" s="41">
        <f t="shared" si="11"/>
        <v>80</v>
      </c>
      <c r="AE12" s="42">
        <f>IFERROR(INDEX(V!$R:$R,MATCH(AF12,V!$L:$L,0)),"")</f>
        <v>62</v>
      </c>
      <c r="AF12" s="43" t="str">
        <f t="shared" si="5"/>
        <v>Johannes Neiland</v>
      </c>
      <c r="AG12" s="42">
        <f>IFERROR(INDEX(V!$R:$R,MATCH(AH12,V!$L:$L,0)),"")</f>
        <v>18</v>
      </c>
      <c r="AH12" s="43" t="str">
        <f t="shared" si="6"/>
        <v>Taimo Lepp</v>
      </c>
      <c r="AI12" s="42" t="str">
        <f>IFERROR(INDEX(V!$R:$R,MATCH(AJ12,V!$L:$L,0)),"")</f>
        <v/>
      </c>
      <c r="AJ12" s="43" t="str">
        <f t="shared" si="7"/>
        <v/>
      </c>
      <c r="AK12" s="42" t="str">
        <f>IFERROR(INDEX(V!$R:$R,MATCH(AL12,V!$L:$L,0)),"")</f>
        <v/>
      </c>
      <c r="AL12" s="43" t="str">
        <f t="shared" si="8"/>
        <v/>
      </c>
      <c r="AM12" s="42" t="str">
        <f>IFERROR(INDEX(V!$R:$R,MATCH(AN12,V!$L:$L,0)),"")</f>
        <v/>
      </c>
      <c r="AN12" s="43" t="str">
        <f t="shared" si="9"/>
        <v/>
      </c>
      <c r="AO12" s="42" t="str">
        <f>IFERROR(INDEX(V!$R:$R,MATCH(AP12,V!$L:$L,0)),"")</f>
        <v/>
      </c>
      <c r="AP12" s="43" t="str">
        <f t="shared" si="10"/>
        <v/>
      </c>
    </row>
    <row r="13" spans="1:42">
      <c r="A13" s="11">
        <v>7</v>
      </c>
      <c r="B13" s="18" t="s">
        <v>359</v>
      </c>
      <c r="C13" s="13">
        <v>13</v>
      </c>
      <c r="D13" s="14" t="s">
        <v>346</v>
      </c>
      <c r="E13" s="14">
        <v>5</v>
      </c>
      <c r="F13" s="15" t="s">
        <v>354</v>
      </c>
      <c r="G13" s="13">
        <v>4</v>
      </c>
      <c r="H13" s="14" t="s">
        <v>346</v>
      </c>
      <c r="I13" s="14">
        <v>13</v>
      </c>
      <c r="J13" s="15" t="s">
        <v>360</v>
      </c>
      <c r="K13" s="13">
        <v>13</v>
      </c>
      <c r="L13" s="14" t="s">
        <v>346</v>
      </c>
      <c r="M13" s="14">
        <v>5</v>
      </c>
      <c r="N13" s="15" t="s">
        <v>370</v>
      </c>
      <c r="O13" s="13">
        <v>4</v>
      </c>
      <c r="P13" s="14" t="s">
        <v>346</v>
      </c>
      <c r="Q13" s="14">
        <v>13</v>
      </c>
      <c r="R13" s="15" t="s">
        <v>366</v>
      </c>
      <c r="S13" s="13"/>
      <c r="T13" s="14"/>
      <c r="U13" s="14"/>
      <c r="V13" s="15"/>
      <c r="W13" s="28">
        <f t="shared" si="0"/>
        <v>2</v>
      </c>
      <c r="X13" s="29">
        <v>18</v>
      </c>
      <c r="Y13" s="29"/>
      <c r="Z13" s="13">
        <f t="shared" si="1"/>
        <v>34</v>
      </c>
      <c r="AA13" s="14" t="s">
        <v>346</v>
      </c>
      <c r="AB13" s="39">
        <f t="shared" si="2"/>
        <v>36</v>
      </c>
      <c r="AC13" s="40">
        <f t="shared" si="3"/>
        <v>-2</v>
      </c>
      <c r="AD13" s="41">
        <f t="shared" si="11"/>
        <v>322</v>
      </c>
      <c r="AE13" s="42">
        <f>IFERROR(INDEX(V!$R:$R,MATCH(AF13,V!$L:$L,0)),"")</f>
        <v>146</v>
      </c>
      <c r="AF13" s="43" t="str">
        <f t="shared" si="5"/>
        <v>Kristel Tihhonjuk</v>
      </c>
      <c r="AG13" s="42">
        <f>IFERROR(INDEX(V!$R:$R,MATCH(AH13,V!$L:$L,0)),"")</f>
        <v>176</v>
      </c>
      <c r="AH13" s="43" t="str">
        <f t="shared" si="6"/>
        <v>Vadim Tihhonjuk</v>
      </c>
      <c r="AI13" s="42" t="str">
        <f>IFERROR(INDEX(V!$R:$R,MATCH(AJ13,V!$L:$L,0)),"")</f>
        <v/>
      </c>
      <c r="AJ13" s="43" t="str">
        <f t="shared" si="7"/>
        <v/>
      </c>
      <c r="AK13" s="42" t="str">
        <f>IFERROR(INDEX(V!$R:$R,MATCH(AL13,V!$L:$L,0)),"")</f>
        <v/>
      </c>
      <c r="AL13" s="43" t="str">
        <f t="shared" si="8"/>
        <v/>
      </c>
      <c r="AM13" s="42" t="str">
        <f>IFERROR(INDEX(V!$R:$R,MATCH(AN13,V!$L:$L,0)),"")</f>
        <v/>
      </c>
      <c r="AN13" s="43" t="str">
        <f t="shared" si="9"/>
        <v/>
      </c>
      <c r="AO13" s="42" t="str">
        <f>IFERROR(INDEX(V!$R:$R,MATCH(AP13,V!$L:$L,0)),"")</f>
        <v/>
      </c>
      <c r="AP13" s="43" t="str">
        <f t="shared" si="10"/>
        <v/>
      </c>
    </row>
    <row r="14" spans="1:42">
      <c r="A14" s="11">
        <v>8</v>
      </c>
      <c r="B14" s="18" t="s">
        <v>372</v>
      </c>
      <c r="C14" s="13">
        <v>6</v>
      </c>
      <c r="D14" s="14" t="s">
        <v>346</v>
      </c>
      <c r="E14" s="14">
        <v>13</v>
      </c>
      <c r="F14" s="15" t="s">
        <v>360</v>
      </c>
      <c r="G14" s="13">
        <v>13</v>
      </c>
      <c r="H14" s="14" t="s">
        <v>346</v>
      </c>
      <c r="I14" s="14">
        <v>3</v>
      </c>
      <c r="J14" s="15" t="s">
        <v>354</v>
      </c>
      <c r="K14" s="13">
        <v>8</v>
      </c>
      <c r="L14" s="14" t="s">
        <v>346</v>
      </c>
      <c r="M14" s="14">
        <v>9</v>
      </c>
      <c r="N14" s="15" t="s">
        <v>366</v>
      </c>
      <c r="O14" s="13">
        <v>13</v>
      </c>
      <c r="P14" s="14" t="s">
        <v>346</v>
      </c>
      <c r="Q14" s="14">
        <v>10</v>
      </c>
      <c r="R14" s="15" t="s">
        <v>375</v>
      </c>
      <c r="S14" s="13"/>
      <c r="T14" s="14"/>
      <c r="U14" s="14"/>
      <c r="V14" s="15"/>
      <c r="W14" s="28">
        <f t="shared" si="0"/>
        <v>2</v>
      </c>
      <c r="X14" s="29">
        <v>16</v>
      </c>
      <c r="Y14" s="29"/>
      <c r="Z14" s="13">
        <f t="shared" si="1"/>
        <v>40</v>
      </c>
      <c r="AA14" s="14" t="s">
        <v>346</v>
      </c>
      <c r="AB14" s="39">
        <f t="shared" si="2"/>
        <v>35</v>
      </c>
      <c r="AC14" s="40">
        <f t="shared" si="3"/>
        <v>5</v>
      </c>
      <c r="AD14" s="41">
        <f t="shared" ref="AD14:AD15" si="12">SUM(AE14:AL14)</f>
        <v>132</v>
      </c>
      <c r="AE14" s="42">
        <f>IFERROR(INDEX(V!$R:$R,MATCH(AF14,V!$L:$L,0)),"")</f>
        <v>112</v>
      </c>
      <c r="AF14" s="43" t="str">
        <f t="shared" si="5"/>
        <v>Jaan Sepp</v>
      </c>
      <c r="AG14" s="42">
        <f>IFERROR(INDEX(V!$R:$R,MATCH(AH14,V!$L:$L,0)),"")</f>
        <v>20</v>
      </c>
      <c r="AH14" s="43" t="str">
        <f t="shared" si="6"/>
        <v>Sirje Viljaste</v>
      </c>
      <c r="AI14" s="42" t="str">
        <f>IFERROR(INDEX(V!$R:$R,MATCH(AJ14,V!$L:$L,0)),"")</f>
        <v/>
      </c>
      <c r="AJ14" s="43" t="str">
        <f t="shared" si="7"/>
        <v/>
      </c>
      <c r="AK14" s="42" t="str">
        <f>IFERROR(INDEX(V!$R:$R,MATCH(AL14,V!$L:$L,0)),"")</f>
        <v/>
      </c>
      <c r="AL14" s="43" t="str">
        <f t="shared" si="8"/>
        <v/>
      </c>
      <c r="AM14" s="42" t="str">
        <f>IFERROR(INDEX(V!$R:$R,MATCH(AN14,V!$L:$L,0)),"")</f>
        <v/>
      </c>
      <c r="AN14" s="43" t="str">
        <f t="shared" si="9"/>
        <v/>
      </c>
      <c r="AO14" s="42" t="str">
        <f>IFERROR(INDEX(V!$R:$R,MATCH(AP14,V!$L:$L,0)),"")</f>
        <v/>
      </c>
      <c r="AP14" s="43" t="str">
        <f t="shared" si="10"/>
        <v/>
      </c>
    </row>
    <row r="15" spans="1:42">
      <c r="A15" s="11">
        <v>9</v>
      </c>
      <c r="B15" s="17" t="s">
        <v>370</v>
      </c>
      <c r="C15" s="13">
        <v>13</v>
      </c>
      <c r="D15" s="14" t="s">
        <v>346</v>
      </c>
      <c r="E15" s="14">
        <v>4</v>
      </c>
      <c r="F15" s="15" t="s">
        <v>375</v>
      </c>
      <c r="G15" s="13">
        <v>5</v>
      </c>
      <c r="H15" s="14" t="s">
        <v>346</v>
      </c>
      <c r="I15" s="14">
        <v>13</v>
      </c>
      <c r="J15" s="15" t="s">
        <v>369</v>
      </c>
      <c r="K15" s="13">
        <v>5</v>
      </c>
      <c r="L15" s="14" t="s">
        <v>346</v>
      </c>
      <c r="M15" s="14">
        <v>13</v>
      </c>
      <c r="N15" s="15" t="s">
        <v>359</v>
      </c>
      <c r="O15" s="13">
        <v>13</v>
      </c>
      <c r="P15" s="14" t="s">
        <v>346</v>
      </c>
      <c r="Q15" s="14">
        <v>7</v>
      </c>
      <c r="R15" s="15" t="s">
        <v>353</v>
      </c>
      <c r="S15" s="13"/>
      <c r="T15" s="14"/>
      <c r="U15" s="14"/>
      <c r="V15" s="15"/>
      <c r="W15" s="28">
        <f t="shared" si="0"/>
        <v>2</v>
      </c>
      <c r="X15" s="29">
        <v>16</v>
      </c>
      <c r="Y15" s="29"/>
      <c r="Z15" s="13">
        <f t="shared" si="1"/>
        <v>36</v>
      </c>
      <c r="AA15" s="14" t="s">
        <v>346</v>
      </c>
      <c r="AB15" s="39">
        <f t="shared" si="2"/>
        <v>37</v>
      </c>
      <c r="AC15" s="40">
        <f t="shared" si="3"/>
        <v>-1</v>
      </c>
      <c r="AD15" s="41">
        <f t="shared" si="12"/>
        <v>216</v>
      </c>
      <c r="AE15" s="42">
        <f>IFERROR(INDEX(V!$R:$R,MATCH(AF15,V!$L:$L,0)),"")</f>
        <v>72</v>
      </c>
      <c r="AF15" s="43" t="str">
        <f t="shared" si="5"/>
        <v>Hillar Neiland</v>
      </c>
      <c r="AG15" s="42">
        <f>IFERROR(INDEX(V!$R:$R,MATCH(AH15,V!$L:$L,0)),"")</f>
        <v>144</v>
      </c>
      <c r="AH15" s="43" t="str">
        <f t="shared" si="6"/>
        <v>Oleg Rõndenkov</v>
      </c>
      <c r="AI15" s="42" t="str">
        <f>IFERROR(INDEX(V!$R:$R,MATCH(AJ15,V!$L:$L,0)),"")</f>
        <v/>
      </c>
      <c r="AJ15" s="43" t="str">
        <f t="shared" si="7"/>
        <v/>
      </c>
      <c r="AK15" s="42" t="str">
        <f>IFERROR(INDEX(V!$R:$R,MATCH(AL15,V!$L:$L,0)),"")</f>
        <v/>
      </c>
      <c r="AL15" s="43" t="str">
        <f t="shared" si="8"/>
        <v/>
      </c>
      <c r="AM15" s="42" t="str">
        <f>IFERROR(INDEX(V!$R:$R,MATCH(AN15,V!$L:$L,0)),"")</f>
        <v/>
      </c>
      <c r="AN15" s="43" t="str">
        <f t="shared" si="9"/>
        <v/>
      </c>
      <c r="AO15" s="42" t="str">
        <f>IFERROR(INDEX(V!$R:$R,MATCH(AP15,V!$L:$L,0)),"")</f>
        <v/>
      </c>
      <c r="AP15" s="43" t="str">
        <f t="shared" si="10"/>
        <v/>
      </c>
    </row>
    <row r="16" spans="1:42">
      <c r="A16" s="11">
        <v>10</v>
      </c>
      <c r="B16" s="18" t="s">
        <v>362</v>
      </c>
      <c r="C16" s="13">
        <v>13</v>
      </c>
      <c r="D16" s="14" t="s">
        <v>346</v>
      </c>
      <c r="E16" s="14">
        <v>8</v>
      </c>
      <c r="F16" s="15" t="s">
        <v>374</v>
      </c>
      <c r="G16" s="13">
        <v>13</v>
      </c>
      <c r="H16" s="14" t="s">
        <v>346</v>
      </c>
      <c r="I16" s="14">
        <v>10</v>
      </c>
      <c r="J16" s="15" t="s">
        <v>366</v>
      </c>
      <c r="K16" s="13">
        <v>5</v>
      </c>
      <c r="L16" s="14" t="s">
        <v>346</v>
      </c>
      <c r="M16" s="14">
        <v>13</v>
      </c>
      <c r="N16" s="15" t="s">
        <v>371</v>
      </c>
      <c r="O16" s="13">
        <v>10</v>
      </c>
      <c r="P16" s="14" t="s">
        <v>346</v>
      </c>
      <c r="Q16" s="14">
        <v>13</v>
      </c>
      <c r="R16" s="15" t="s">
        <v>363</v>
      </c>
      <c r="S16" s="13"/>
      <c r="T16" s="14"/>
      <c r="U16" s="14"/>
      <c r="V16" s="15"/>
      <c r="W16" s="28">
        <f t="shared" si="0"/>
        <v>2</v>
      </c>
      <c r="X16" s="29">
        <v>16</v>
      </c>
      <c r="Y16" s="29"/>
      <c r="Z16" s="13">
        <f t="shared" si="1"/>
        <v>41</v>
      </c>
      <c r="AA16" s="14" t="s">
        <v>346</v>
      </c>
      <c r="AB16" s="39">
        <f t="shared" si="2"/>
        <v>44</v>
      </c>
      <c r="AC16" s="40">
        <f t="shared" si="3"/>
        <v>-3</v>
      </c>
      <c r="AD16" s="41">
        <f t="shared" ref="AD16:AD19" si="13">SUM(AE16:AL16)</f>
        <v>208</v>
      </c>
      <c r="AE16" s="42">
        <f>IFERROR(INDEX(V!$R:$R,MATCH(AF16,V!$L:$L,0)),"")</f>
        <v>60</v>
      </c>
      <c r="AF16" s="43" t="str">
        <f t="shared" si="5"/>
        <v>Kaspar Mänd</v>
      </c>
      <c r="AG16" s="42">
        <f>IFERROR(INDEX(V!$R:$R,MATCH(AH16,V!$L:$L,0)),"")</f>
        <v>148</v>
      </c>
      <c r="AH16" s="43" t="str">
        <f t="shared" si="6"/>
        <v>Olav Türk</v>
      </c>
      <c r="AI16" s="42" t="str">
        <f>IFERROR(INDEX(V!$R:$R,MATCH(AJ16,V!$L:$L,0)),"")</f>
        <v/>
      </c>
      <c r="AJ16" s="43" t="str">
        <f t="shared" si="7"/>
        <v/>
      </c>
      <c r="AK16" s="42" t="str">
        <f>IFERROR(INDEX(V!$R:$R,MATCH(AL16,V!$L:$L,0)),"")</f>
        <v/>
      </c>
      <c r="AL16" s="43" t="str">
        <f t="shared" si="8"/>
        <v/>
      </c>
      <c r="AM16" s="42" t="str">
        <f>IFERROR(INDEX(V!$R:$R,MATCH(AN16,V!$L:$L,0)),"")</f>
        <v/>
      </c>
      <c r="AN16" s="43" t="str">
        <f t="shared" si="9"/>
        <v/>
      </c>
      <c r="AO16" s="42" t="str">
        <f>IFERROR(INDEX(V!$R:$R,MATCH(AP16,V!$L:$L,0)),"")</f>
        <v/>
      </c>
      <c r="AP16" s="43" t="str">
        <f t="shared" si="10"/>
        <v/>
      </c>
    </row>
    <row r="17" spans="1:42">
      <c r="A17" s="11">
        <v>11</v>
      </c>
      <c r="B17" s="17" t="s">
        <v>353</v>
      </c>
      <c r="C17" s="13">
        <v>1</v>
      </c>
      <c r="D17" s="14" t="s">
        <v>346</v>
      </c>
      <c r="E17" s="14">
        <v>13</v>
      </c>
      <c r="F17" s="15" t="s">
        <v>369</v>
      </c>
      <c r="G17" s="13">
        <v>13</v>
      </c>
      <c r="H17" s="14" t="s">
        <v>346</v>
      </c>
      <c r="I17" s="14">
        <v>3</v>
      </c>
      <c r="J17" s="15" t="s">
        <v>375</v>
      </c>
      <c r="K17" s="13">
        <v>7</v>
      </c>
      <c r="L17" s="14" t="s">
        <v>346</v>
      </c>
      <c r="M17" s="14">
        <v>13</v>
      </c>
      <c r="N17" s="15" t="s">
        <v>373</v>
      </c>
      <c r="O17" s="13">
        <v>7</v>
      </c>
      <c r="P17" s="14" t="s">
        <v>346</v>
      </c>
      <c r="Q17" s="14">
        <v>13</v>
      </c>
      <c r="R17" s="15" t="s">
        <v>370</v>
      </c>
      <c r="S17" s="13"/>
      <c r="T17" s="14"/>
      <c r="U17" s="14"/>
      <c r="V17" s="15"/>
      <c r="W17" s="28">
        <f t="shared" si="0"/>
        <v>1</v>
      </c>
      <c r="X17" s="29">
        <v>18</v>
      </c>
      <c r="Y17" s="29"/>
      <c r="Z17" s="13">
        <f t="shared" si="1"/>
        <v>28</v>
      </c>
      <c r="AA17" s="14" t="s">
        <v>346</v>
      </c>
      <c r="AB17" s="39">
        <f t="shared" si="2"/>
        <v>42</v>
      </c>
      <c r="AC17" s="40">
        <f t="shared" si="3"/>
        <v>-14</v>
      </c>
      <c r="AD17" s="41">
        <f t="shared" si="13"/>
        <v>74</v>
      </c>
      <c r="AE17" s="42">
        <f>IFERROR(INDEX(V!$R:$R,MATCH(AF17,V!$L:$L,0)),"")</f>
        <v>26</v>
      </c>
      <c r="AF17" s="43" t="str">
        <f t="shared" si="5"/>
        <v>Jaan Saar</v>
      </c>
      <c r="AG17" s="42">
        <f>IFERROR(INDEX(V!$R:$R,MATCH(AH17,V!$L:$L,0)),"")</f>
        <v>48</v>
      </c>
      <c r="AH17" s="43" t="str">
        <f t="shared" si="6"/>
        <v>Liidia Põllu</v>
      </c>
      <c r="AI17" s="42" t="str">
        <f>IFERROR(INDEX(V!$R:$R,MATCH(AJ17,V!$L:$L,0)),"")</f>
        <v/>
      </c>
      <c r="AJ17" s="43" t="str">
        <f t="shared" si="7"/>
        <v/>
      </c>
      <c r="AK17" s="42" t="str">
        <f>IFERROR(INDEX(V!$R:$R,MATCH(AL17,V!$L:$L,0)),"")</f>
        <v/>
      </c>
      <c r="AL17" s="43" t="str">
        <f t="shared" si="8"/>
        <v/>
      </c>
      <c r="AM17" s="42" t="str">
        <f>IFERROR(INDEX(V!$R:$R,MATCH(AN17,V!$L:$L,0)),"")</f>
        <v/>
      </c>
      <c r="AN17" s="43" t="str">
        <f t="shared" si="9"/>
        <v/>
      </c>
      <c r="AO17" s="42" t="str">
        <f>IFERROR(INDEX(V!$R:$R,MATCH(AP17,V!$L:$L,0)),"")</f>
        <v/>
      </c>
      <c r="AP17" s="43" t="str">
        <f t="shared" si="10"/>
        <v/>
      </c>
    </row>
    <row r="18" spans="1:42">
      <c r="A18" s="11">
        <v>12</v>
      </c>
      <c r="B18" s="18" t="s">
        <v>354</v>
      </c>
      <c r="C18" s="13">
        <v>5</v>
      </c>
      <c r="D18" s="14" t="s">
        <v>346</v>
      </c>
      <c r="E18" s="14">
        <v>13</v>
      </c>
      <c r="F18" s="15" t="s">
        <v>359</v>
      </c>
      <c r="G18" s="13">
        <v>3</v>
      </c>
      <c r="H18" s="14" t="s">
        <v>346</v>
      </c>
      <c r="I18" s="14">
        <v>13</v>
      </c>
      <c r="J18" s="15" t="s">
        <v>372</v>
      </c>
      <c r="K18" s="13">
        <v>10</v>
      </c>
      <c r="L18" s="14" t="s">
        <v>346</v>
      </c>
      <c r="M18" s="14">
        <v>13</v>
      </c>
      <c r="N18" s="15" t="s">
        <v>363</v>
      </c>
      <c r="O18" s="13">
        <v>13</v>
      </c>
      <c r="P18" s="14" t="s">
        <v>346</v>
      </c>
      <c r="Q18" s="14">
        <v>3</v>
      </c>
      <c r="R18" s="15" t="s">
        <v>374</v>
      </c>
      <c r="S18" s="13"/>
      <c r="T18" s="14"/>
      <c r="U18" s="14"/>
      <c r="V18" s="15"/>
      <c r="W18" s="28">
        <f t="shared" si="0"/>
        <v>1</v>
      </c>
      <c r="X18" s="29">
        <v>14</v>
      </c>
      <c r="Y18" s="29"/>
      <c r="Z18" s="13">
        <f t="shared" si="1"/>
        <v>31</v>
      </c>
      <c r="AA18" s="14" t="s">
        <v>346</v>
      </c>
      <c r="AB18" s="39">
        <f t="shared" si="2"/>
        <v>42</v>
      </c>
      <c r="AC18" s="40">
        <f t="shared" si="3"/>
        <v>-11</v>
      </c>
      <c r="AD18" s="41">
        <f t="shared" si="13"/>
        <v>80</v>
      </c>
      <c r="AE18" s="42">
        <f>IFERROR(INDEX(V!$R:$R,MATCH(AF18,V!$L:$L,0)),"")</f>
        <v>30</v>
      </c>
      <c r="AF18" s="43" t="str">
        <f t="shared" si="5"/>
        <v>Lemmit Toomra</v>
      </c>
      <c r="AG18" s="42">
        <f>IFERROR(INDEX(V!$R:$R,MATCH(AH18,V!$L:$L,0)),"")</f>
        <v>50</v>
      </c>
      <c r="AH18" s="43" t="str">
        <f t="shared" si="6"/>
        <v>Tõnu Kapper</v>
      </c>
      <c r="AI18" s="42" t="str">
        <f>IFERROR(INDEX(V!$R:$R,MATCH(AJ18,V!$L:$L,0)),"")</f>
        <v/>
      </c>
      <c r="AJ18" s="43" t="str">
        <f t="shared" si="7"/>
        <v/>
      </c>
      <c r="AK18" s="42" t="str">
        <f>IFERROR(INDEX(V!$R:$R,MATCH(AL18,V!$L:$L,0)),"")</f>
        <v/>
      </c>
      <c r="AL18" s="43" t="str">
        <f t="shared" si="8"/>
        <v/>
      </c>
      <c r="AM18" s="42" t="str">
        <f>IFERROR(INDEX(V!$R:$R,MATCH(AN18,V!$L:$L,0)),"")</f>
        <v/>
      </c>
      <c r="AN18" s="43" t="str">
        <f t="shared" si="9"/>
        <v/>
      </c>
      <c r="AO18" s="42" t="str">
        <f>IFERROR(INDEX(V!$R:$R,MATCH(AP18,V!$L:$L,0)),"")</f>
        <v/>
      </c>
      <c r="AP18" s="43" t="str">
        <f t="shared" si="10"/>
        <v/>
      </c>
    </row>
    <row r="19" spans="1:42">
      <c r="A19" s="11">
        <v>13</v>
      </c>
      <c r="B19" s="17" t="s">
        <v>375</v>
      </c>
      <c r="C19" s="13">
        <v>4</v>
      </c>
      <c r="D19" s="14" t="s">
        <v>346</v>
      </c>
      <c r="E19" s="14">
        <v>13</v>
      </c>
      <c r="F19" s="15" t="s">
        <v>370</v>
      </c>
      <c r="G19" s="13">
        <v>3</v>
      </c>
      <c r="H19" s="14" t="s">
        <v>346</v>
      </c>
      <c r="I19" s="14">
        <v>13</v>
      </c>
      <c r="J19" s="15" t="s">
        <v>353</v>
      </c>
      <c r="K19" s="13">
        <v>13</v>
      </c>
      <c r="L19" s="14" t="s">
        <v>346</v>
      </c>
      <c r="M19" s="14">
        <v>4</v>
      </c>
      <c r="N19" s="15" t="s">
        <v>374</v>
      </c>
      <c r="O19" s="13">
        <v>10</v>
      </c>
      <c r="P19" s="14" t="s">
        <v>346</v>
      </c>
      <c r="Q19" s="14">
        <v>13</v>
      </c>
      <c r="R19" s="15" t="s">
        <v>372</v>
      </c>
      <c r="S19" s="13"/>
      <c r="T19" s="14"/>
      <c r="U19" s="14"/>
      <c r="V19" s="15"/>
      <c r="W19" s="28">
        <f t="shared" si="0"/>
        <v>1</v>
      </c>
      <c r="X19" s="29">
        <v>10</v>
      </c>
      <c r="Y19" s="29"/>
      <c r="Z19" s="13">
        <f t="shared" si="1"/>
        <v>30</v>
      </c>
      <c r="AA19" s="14" t="s">
        <v>346</v>
      </c>
      <c r="AB19" s="39">
        <f t="shared" si="2"/>
        <v>43</v>
      </c>
      <c r="AC19" s="40">
        <f t="shared" si="3"/>
        <v>-13</v>
      </c>
      <c r="AD19" s="41">
        <f t="shared" si="13"/>
        <v>158</v>
      </c>
      <c r="AE19" s="42">
        <f>IFERROR(INDEX(V!$R:$R,MATCH(AF19,V!$L:$L,0)),"")</f>
        <v>98</v>
      </c>
      <c r="AF19" s="43" t="str">
        <f t="shared" si="5"/>
        <v>Marko Rooden</v>
      </c>
      <c r="AG19" s="42">
        <f>IFERROR(INDEX(V!$R:$R,MATCH(AH19,V!$L:$L,0)),"")</f>
        <v>60</v>
      </c>
      <c r="AH19" s="43" t="str">
        <f t="shared" si="6"/>
        <v>Martin Kuusmann</v>
      </c>
      <c r="AI19" s="42" t="str">
        <f>IFERROR(INDEX(V!$R:$R,MATCH(AJ19,V!$L:$L,0)),"")</f>
        <v/>
      </c>
      <c r="AJ19" s="43" t="str">
        <f t="shared" si="7"/>
        <v/>
      </c>
      <c r="AK19" s="42" t="str">
        <f>IFERROR(INDEX(V!$R:$R,MATCH(AL19,V!$L:$L,0)),"")</f>
        <v/>
      </c>
      <c r="AL19" s="43" t="str">
        <f t="shared" si="8"/>
        <v/>
      </c>
      <c r="AM19" s="42" t="str">
        <f>IFERROR(INDEX(V!$R:$R,MATCH(AN19,V!$L:$L,0)),"")</f>
        <v/>
      </c>
      <c r="AN19" s="43" t="str">
        <f t="shared" si="9"/>
        <v/>
      </c>
      <c r="AO19" s="42" t="str">
        <f>IFERROR(INDEX(V!$R:$R,MATCH(AP19,V!$L:$L,0)),"")</f>
        <v/>
      </c>
      <c r="AP19" s="43" t="str">
        <f t="shared" si="10"/>
        <v/>
      </c>
    </row>
    <row r="20" spans="1:42">
      <c r="A20" s="11">
        <v>14</v>
      </c>
      <c r="B20" s="18" t="s">
        <v>374</v>
      </c>
      <c r="C20" s="13">
        <v>8</v>
      </c>
      <c r="D20" s="14" t="s">
        <v>346</v>
      </c>
      <c r="E20" s="14">
        <v>13</v>
      </c>
      <c r="F20" s="15" t="s">
        <v>362</v>
      </c>
      <c r="G20" s="13">
        <v>3</v>
      </c>
      <c r="H20" s="14" t="s">
        <v>346</v>
      </c>
      <c r="I20" s="14">
        <v>13</v>
      </c>
      <c r="J20" s="15" t="s">
        <v>363</v>
      </c>
      <c r="K20" s="13">
        <v>4</v>
      </c>
      <c r="L20" s="14" t="s">
        <v>346</v>
      </c>
      <c r="M20" s="14">
        <v>13</v>
      </c>
      <c r="N20" s="15" t="s">
        <v>375</v>
      </c>
      <c r="O20" s="13">
        <v>3</v>
      </c>
      <c r="P20" s="14" t="s">
        <v>346</v>
      </c>
      <c r="Q20" s="14">
        <v>13</v>
      </c>
      <c r="R20" s="15" t="s">
        <v>354</v>
      </c>
      <c r="S20" s="13"/>
      <c r="T20" s="14"/>
      <c r="U20" s="14"/>
      <c r="V20" s="15"/>
      <c r="W20" s="28">
        <f t="shared" si="0"/>
        <v>0</v>
      </c>
      <c r="X20" s="29">
        <v>14</v>
      </c>
      <c r="Y20" s="29"/>
      <c r="Z20" s="13">
        <f t="shared" ref="Z20:Z21" si="14">C20+G20+K20+O20+S20</f>
        <v>18</v>
      </c>
      <c r="AA20" s="14" t="s">
        <v>346</v>
      </c>
      <c r="AB20" s="39">
        <f t="shared" ref="AB20:AB21" si="15">E20+I20+M20+Q20+U20</f>
        <v>52</v>
      </c>
      <c r="AC20" s="40">
        <f t="shared" ref="AC20:AC21" si="16">Z20-AB20</f>
        <v>-34</v>
      </c>
      <c r="AD20" s="41">
        <f t="shared" ref="AD20:AD21" si="17">SUM(AE20:AL20)</f>
        <v>4</v>
      </c>
      <c r="AE20" s="42">
        <f>IFERROR(INDEX(V!$R:$R,MATCH(AF20,V!$L:$L,0)),"")</f>
        <v>2</v>
      </c>
      <c r="AF20" s="43" t="str">
        <f t="shared" si="5"/>
        <v>Jüri Mitt</v>
      </c>
      <c r="AG20" s="42">
        <f>IFERROR(INDEX(V!$R:$R,MATCH(AH20,V!$L:$L,0)),"")</f>
        <v>2</v>
      </c>
      <c r="AH20" s="43" t="str">
        <f t="shared" si="6"/>
        <v>Tarmo Bombe</v>
      </c>
      <c r="AI20" s="42" t="str">
        <f>IFERROR(INDEX(V!$R:$R,MATCH(AJ20,V!$L:$L,0)),"")</f>
        <v/>
      </c>
      <c r="AJ20" s="43" t="str">
        <f t="shared" si="7"/>
        <v/>
      </c>
      <c r="AK20" s="42" t="str">
        <f>IFERROR(INDEX(V!$R:$R,MATCH(AL20,V!$L:$L,0)),"")</f>
        <v/>
      </c>
      <c r="AL20" s="43" t="str">
        <f t="shared" si="8"/>
        <v/>
      </c>
      <c r="AM20" s="42" t="str">
        <f>IFERROR(INDEX(V!$R:$R,MATCH(AN20,V!$L:$L,0)),"")</f>
        <v/>
      </c>
      <c r="AN20" s="43" t="str">
        <f t="shared" si="9"/>
        <v/>
      </c>
      <c r="AO20" s="42" t="str">
        <f>IFERROR(INDEX(V!$R:$R,MATCH(AP20,V!$L:$L,0)),"")</f>
        <v/>
      </c>
      <c r="AP20" s="43" t="str">
        <f t="shared" si="10"/>
        <v/>
      </c>
    </row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  <row r="35" hidden="1"/>
    <row r="36" hidden="1"/>
    <row r="37" hidden="1"/>
    <row r="38" hidden="1"/>
    <row r="39" hidden="1"/>
    <row r="40" hidden="1"/>
    <row r="41" hidden="1"/>
    <row r="42" hidden="1"/>
    <row r="43" hidden="1"/>
    <row r="44" hidden="1"/>
    <row r="45" hidden="1"/>
    <row r="46" hidden="1"/>
    <row r="47" hidden="1"/>
    <row r="48" hidden="1"/>
    <row r="49" hidden="1"/>
    <row r="50" hidden="1"/>
    <row r="51" hidden="1"/>
    <row r="52" hidden="1"/>
    <row r="53" hidden="1"/>
    <row r="54" hidden="1"/>
    <row r="55" hidden="1"/>
    <row r="56" hidden="1"/>
    <row r="57" hidden="1"/>
    <row r="58" hidden="1"/>
    <row r="59" hidden="1"/>
    <row r="60" hidden="1"/>
    <row r="61" hidden="1"/>
    <row r="62" hidden="1"/>
    <row r="63" hidden="1"/>
    <row r="64" hidden="1"/>
    <row r="65" hidden="1"/>
    <row r="66" hidden="1"/>
    <row r="67" hidden="1"/>
    <row r="68" hidden="1"/>
    <row r="69" hidden="1"/>
    <row r="70" hidden="1"/>
    <row r="71" hidden="1"/>
    <row r="72" hidden="1"/>
    <row r="73" hidden="1"/>
    <row r="74" hidden="1"/>
    <row r="75" hidden="1"/>
    <row r="76" hidden="1"/>
    <row r="77" hidden="1"/>
    <row r="78" hidden="1"/>
    <row r="79" hidden="1"/>
    <row r="80" hidden="1"/>
    <row r="81" hidden="1"/>
    <row r="82" hidden="1"/>
    <row r="83" hidden="1"/>
    <row r="84" hidden="1"/>
    <row r="85" hidden="1"/>
    <row r="86" hidden="1"/>
    <row r="87" hidden="1"/>
    <row r="88" hidden="1"/>
    <row r="89" hidden="1"/>
    <row r="90" hidden="1"/>
    <row r="91" hidden="1"/>
    <row r="92" hidden="1"/>
    <row r="93" hidden="1"/>
    <row r="94" hidden="1"/>
    <row r="95" hidden="1"/>
    <row r="96" hidden="1"/>
    <row r="97" hidden="1"/>
    <row r="98" hidden="1"/>
    <row r="99" hidden="1"/>
    <row r="100" hidden="1"/>
    <row r="101" hidden="1"/>
    <row r="102" hidden="1"/>
    <row r="103" hidden="1"/>
    <row r="104" hidden="1"/>
    <row r="105" hidden="1"/>
    <row r="106" hidden="1"/>
    <row r="107" hidden="1"/>
    <row r="108" hidden="1"/>
    <row r="109" hidden="1"/>
    <row r="110" hidden="1"/>
    <row r="111" hidden="1"/>
    <row r="112" hidden="1"/>
    <row r="113" hidden="1"/>
    <row r="114" hidden="1"/>
    <row r="115" hidden="1"/>
    <row r="116" hidden="1"/>
    <row r="117" hidden="1"/>
    <row r="118" hidden="1"/>
    <row r="119" hidden="1"/>
    <row r="120" hidden="1"/>
    <row r="121" hidden="1"/>
    <row r="122" hidden="1"/>
    <row r="123" hidden="1"/>
    <row r="124" hidden="1"/>
    <row r="125" hidden="1"/>
    <row r="126" hidden="1"/>
    <row r="127" hidden="1"/>
    <row r="128" hidden="1"/>
    <row r="129" hidden="1"/>
    <row r="130" hidden="1"/>
    <row r="131" hidden="1"/>
    <row r="132" hidden="1"/>
    <row r="133" hidden="1"/>
    <row r="134" hidden="1"/>
    <row r="135" hidden="1"/>
    <row r="136" hidden="1"/>
    <row r="137" hidden="1"/>
    <row r="138" hidden="1"/>
    <row r="139" hidden="1"/>
    <row r="140" hidden="1"/>
    <row r="141" hidden="1"/>
    <row r="142" hidden="1"/>
    <row r="143" hidden="1"/>
    <row r="144" hidden="1"/>
    <row r="145" hidden="1"/>
    <row r="146" hidden="1"/>
    <row r="147" hidden="1"/>
    <row r="148" hidden="1"/>
    <row r="149" hidden="1"/>
    <row r="150" hidden="1"/>
    <row r="151" hidden="1"/>
    <row r="152" hidden="1"/>
    <row r="153" hidden="1"/>
    <row r="154" hidden="1"/>
    <row r="155" hidden="1"/>
    <row r="156" hidden="1"/>
    <row r="157" hidden="1"/>
    <row r="158" hidden="1"/>
    <row r="159" hidden="1"/>
    <row r="160" hidden="1"/>
    <row r="161" hidden="1"/>
    <row r="162" hidden="1"/>
    <row r="163" hidden="1"/>
    <row r="164" hidden="1"/>
    <row r="165" hidden="1"/>
    <row r="166" hidden="1"/>
    <row r="167" hidden="1"/>
    <row r="168" hidden="1"/>
    <row r="169" hidden="1"/>
    <row r="170" hidden="1"/>
    <row r="171" hidden="1"/>
    <row r="172" hidden="1"/>
    <row r="173" hidden="1"/>
    <row r="174" hidden="1"/>
    <row r="175" hidden="1"/>
    <row r="176" hidden="1"/>
    <row r="177" hidden="1"/>
    <row r="178" hidden="1"/>
    <row r="179" hidden="1"/>
    <row r="180" hidden="1"/>
    <row r="181" hidden="1"/>
    <row r="182" hidden="1"/>
    <row r="183" hidden="1"/>
    <row r="184" hidden="1"/>
    <row r="185" hidden="1"/>
    <row r="186" hidden="1"/>
    <row r="187" hidden="1"/>
    <row r="188" hidden="1"/>
    <row r="189" hidden="1"/>
    <row r="190" hidden="1"/>
    <row r="191" hidden="1"/>
    <row r="192" hidden="1"/>
    <row r="193" hidden="1"/>
    <row r="194" hidden="1"/>
    <row r="195" hidden="1"/>
    <row r="196" hidden="1"/>
    <row r="197" hidden="1"/>
    <row r="198" hidden="1"/>
    <row r="199" hidden="1"/>
    <row r="200" hidden="1"/>
    <row r="201" hidden="1"/>
    <row r="202" hidden="1"/>
    <row r="203" hidden="1"/>
    <row r="204" hidden="1"/>
    <row r="205" hidden="1"/>
    <row r="206" hidden="1"/>
    <row r="207" hidden="1"/>
    <row r="208" hidden="1"/>
    <row r="209" hidden="1"/>
    <row r="210" hidden="1"/>
    <row r="211" hidden="1"/>
    <row r="212" hidden="1"/>
    <row r="213" hidden="1"/>
    <row r="214" hidden="1"/>
    <row r="215" hidden="1"/>
    <row r="216" hidden="1"/>
    <row r="217" hidden="1"/>
    <row r="218" hidden="1"/>
    <row r="219" hidden="1"/>
    <row r="220" hidden="1"/>
    <row r="221" hidden="1"/>
    <row r="222" hidden="1"/>
    <row r="223" hidden="1"/>
    <row r="224" hidden="1"/>
    <row r="225" hidden="1"/>
    <row r="226" hidden="1"/>
    <row r="227" hidden="1"/>
    <row r="228" hidden="1"/>
    <row r="229" hidden="1"/>
    <row r="230" hidden="1"/>
    <row r="231" hidden="1"/>
    <row r="232" hidden="1"/>
    <row r="233" hidden="1"/>
    <row r="234" hidden="1"/>
    <row r="235" hidden="1"/>
    <row r="236" hidden="1"/>
    <row r="237" hidden="1"/>
    <row r="238" hidden="1"/>
    <row r="239" hidden="1"/>
    <row r="240" hidden="1"/>
    <row r="241" hidden="1"/>
    <row r="242" hidden="1"/>
    <row r="243" hidden="1"/>
    <row r="244" hidden="1"/>
    <row r="245" hidden="1"/>
    <row r="246" hidden="1"/>
    <row r="247" hidden="1"/>
    <row r="248" hidden="1"/>
    <row r="249" hidden="1"/>
    <row r="250" hidden="1"/>
    <row r="251" hidden="1"/>
    <row r="252" hidden="1"/>
    <row r="253" hidden="1"/>
    <row r="254" hidden="1"/>
    <row r="255" hidden="1"/>
    <row r="256" hidden="1"/>
    <row r="257" hidden="1"/>
    <row r="258" hidden="1"/>
    <row r="259" hidden="1"/>
    <row r="260" hidden="1"/>
    <row r="261" hidden="1"/>
    <row r="262" hidden="1"/>
    <row r="263" hidden="1"/>
    <row r="264" hidden="1"/>
    <row r="265" hidden="1"/>
    <row r="266" hidden="1"/>
    <row r="267" hidden="1"/>
    <row r="268" hidden="1"/>
    <row r="269" hidden="1"/>
    <row r="270" hidden="1"/>
    <row r="271" hidden="1"/>
    <row r="272" hidden="1"/>
    <row r="273" hidden="1"/>
    <row r="274" hidden="1"/>
    <row r="275" hidden="1"/>
    <row r="276" hidden="1"/>
    <row r="277" hidden="1"/>
    <row r="278" hidden="1"/>
    <row r="279" hidden="1"/>
    <row r="280" hidden="1"/>
    <row r="281" hidden="1"/>
    <row r="282" hidden="1"/>
    <row r="283" hidden="1"/>
    <row r="284" hidden="1"/>
    <row r="285" hidden="1"/>
    <row r="286" hidden="1"/>
    <row r="287" hidden="1"/>
    <row r="288" hidden="1"/>
    <row r="289" hidden="1"/>
    <row r="290" hidden="1"/>
    <row r="291" hidden="1"/>
    <row r="292" hidden="1"/>
    <row r="293" hidden="1"/>
    <row r="294" hidden="1"/>
    <row r="295" hidden="1"/>
    <row r="296" hidden="1"/>
    <row r="297" hidden="1"/>
    <row r="298" hidden="1"/>
    <row r="299" spans="1:6">
      <c r="A299" s="6"/>
      <c r="B299" s="6"/>
      <c r="C299" s="49" t="s">
        <v>368</v>
      </c>
      <c r="F299" s="50"/>
    </row>
    <row r="300" spans="1:6">
      <c r="A300" s="51">
        <v>1</v>
      </c>
      <c r="B300" s="52" t="str">
        <f t="shared" ref="B300:B312" si="18">IFERROR(INDEX(B$1:B$95,MATCH(A300,A$1:A$95,0)),"")</f>
        <v>Henri Mitt, Tõnis Neiland</v>
      </c>
      <c r="C300" s="53">
        <f>LARGE(A300:A400,1)*2+2-A300*2</f>
        <v>28</v>
      </c>
      <c r="F300" s="50"/>
    </row>
    <row r="301" spans="1:6">
      <c r="A301" s="51">
        <v>2</v>
      </c>
      <c r="B301" s="52" t="str">
        <f t="shared" si="18"/>
        <v>Meelis Luud, Sander Rose</v>
      </c>
      <c r="C301" s="53">
        <f t="shared" ref="C301:C312" si="19">LARGE(A301:A401,1)*2+2-A301*2</f>
        <v>26</v>
      </c>
      <c r="F301" s="50"/>
    </row>
    <row r="302" spans="1:6">
      <c r="A302" s="51">
        <v>3</v>
      </c>
      <c r="B302" s="52" t="str">
        <f t="shared" si="18"/>
        <v>Boriss Klubov, Elmo Lageda</v>
      </c>
      <c r="C302" s="53">
        <f t="shared" si="19"/>
        <v>24</v>
      </c>
      <c r="F302" s="50"/>
    </row>
    <row r="303" spans="1:6">
      <c r="A303" s="51">
        <v>4</v>
      </c>
      <c r="B303" s="52" t="str">
        <f t="shared" si="18"/>
        <v>Andrei Grintšak, Enn Tokman</v>
      </c>
      <c r="C303" s="53">
        <f t="shared" si="19"/>
        <v>22</v>
      </c>
      <c r="F303" s="50"/>
    </row>
    <row r="304" spans="1:6">
      <c r="A304" s="51">
        <v>5</v>
      </c>
      <c r="B304" s="52" t="str">
        <f t="shared" si="18"/>
        <v>Andres Veski, Sirje Maala</v>
      </c>
      <c r="C304" s="53">
        <f t="shared" si="19"/>
        <v>20</v>
      </c>
      <c r="F304" s="50"/>
    </row>
    <row r="305" spans="1:6">
      <c r="A305" s="51">
        <v>6</v>
      </c>
      <c r="B305" s="52" t="str">
        <f t="shared" si="18"/>
        <v>Johannes Neiland, Taimo Lepp</v>
      </c>
      <c r="C305" s="53">
        <f t="shared" si="19"/>
        <v>18</v>
      </c>
      <c r="F305" s="50"/>
    </row>
    <row r="306" spans="1:6">
      <c r="A306" s="51">
        <v>7</v>
      </c>
      <c r="B306" s="52" t="str">
        <f t="shared" si="18"/>
        <v>Kristel Tihhonjuk, Vadim Tihhonjuk</v>
      </c>
      <c r="C306" s="53">
        <f t="shared" si="19"/>
        <v>16</v>
      </c>
      <c r="F306" s="50"/>
    </row>
    <row r="307" spans="1:6">
      <c r="A307" s="51">
        <v>8</v>
      </c>
      <c r="B307" s="52" t="str">
        <f t="shared" si="18"/>
        <v>Jaan Sepp, Sirje Viljaste</v>
      </c>
      <c r="C307" s="53">
        <f t="shared" si="19"/>
        <v>14</v>
      </c>
      <c r="F307" s="50"/>
    </row>
    <row r="308" spans="1:6">
      <c r="A308" s="51">
        <v>9</v>
      </c>
      <c r="B308" s="52" t="str">
        <f t="shared" si="18"/>
        <v>Hillar Neiland, Oleg Rõndenkov</v>
      </c>
      <c r="C308" s="53">
        <f t="shared" si="19"/>
        <v>12</v>
      </c>
      <c r="F308" s="50"/>
    </row>
    <row r="309" spans="1:3">
      <c r="A309" s="51">
        <v>10</v>
      </c>
      <c r="B309" s="52" t="str">
        <f t="shared" si="18"/>
        <v>Kaspar Mänd, Olav Türk</v>
      </c>
      <c r="C309" s="53">
        <f t="shared" si="19"/>
        <v>10</v>
      </c>
    </row>
    <row r="310" spans="1:3">
      <c r="A310" s="51">
        <v>11</v>
      </c>
      <c r="B310" s="52" t="str">
        <f t="shared" si="18"/>
        <v>Jaan Saar, Liidia Põllu</v>
      </c>
      <c r="C310" s="53">
        <f t="shared" si="19"/>
        <v>8</v>
      </c>
    </row>
    <row r="311" spans="1:3">
      <c r="A311" s="51">
        <v>12</v>
      </c>
      <c r="B311" s="52" t="str">
        <f t="shared" si="18"/>
        <v>Lemmit Toomra, Tõnu Kapper</v>
      </c>
      <c r="C311" s="53">
        <f t="shared" si="19"/>
        <v>6</v>
      </c>
    </row>
    <row r="312" spans="1:3">
      <c r="A312" s="51">
        <v>13</v>
      </c>
      <c r="B312" s="52" t="str">
        <f t="shared" si="18"/>
        <v>Marko Rooden, Martin Kuusmann</v>
      </c>
      <c r="C312" s="53">
        <f t="shared" si="19"/>
        <v>4</v>
      </c>
    </row>
    <row r="313" spans="1:3">
      <c r="A313" s="51">
        <v>14</v>
      </c>
      <c r="B313" s="52" t="str">
        <f t="shared" ref="B313:B314" si="20">IFERROR(INDEX(B$1:B$95,MATCH(A313,A$1:A$95,0)),"")</f>
        <v>Jüri Mitt, Tarmo Bombe</v>
      </c>
      <c r="C313" s="53">
        <f t="shared" ref="C313:C314" si="21">LARGE(A313:A413,1)*2+2-A313*2</f>
        <v>2</v>
      </c>
    </row>
  </sheetData>
  <conditionalFormatting sqref="A7:A20">
    <cfRule type="duplicateValues" dxfId="17" priority="33"/>
  </conditionalFormatting>
  <conditionalFormatting sqref="B300:B313">
    <cfRule type="expression" dxfId="3" priority="39">
      <formula>A300=3</formula>
    </cfRule>
    <cfRule type="expression" dxfId="4" priority="40">
      <formula>A300=2</formula>
    </cfRule>
    <cfRule type="expression" dxfId="18" priority="41">
      <formula>A300=1</formula>
    </cfRule>
    <cfRule type="containsBlanks" dxfId="19" priority="42">
      <formula>LEN(TRIM(B300))=0</formula>
    </cfRule>
    <cfRule type="duplicateValues" dxfId="8" priority="43"/>
  </conditionalFormatting>
  <conditionalFormatting sqref="C7:C20">
    <cfRule type="expression" dxfId="20" priority="15">
      <formula>IF($C7&gt;$E7,TRUE)</formula>
    </cfRule>
  </conditionalFormatting>
  <conditionalFormatting sqref="E7:E20">
    <cfRule type="expression" dxfId="20" priority="16">
      <formula>IF($C7&lt;$E7,TRUE)</formula>
    </cfRule>
  </conditionalFormatting>
  <conditionalFormatting sqref="F7:F20">
    <cfRule type="containsText" dxfId="21" priority="6" operator="between" text="vaba voor">
      <formula>NOT(ISERROR(SEARCH("vaba voor",F7)))</formula>
    </cfRule>
  </conditionalFormatting>
  <conditionalFormatting sqref="G7:G20">
    <cfRule type="expression" dxfId="20" priority="19">
      <formula>IF($G7&gt;$I7,TRUE)</formula>
    </cfRule>
  </conditionalFormatting>
  <conditionalFormatting sqref="I7:I20">
    <cfRule type="expression" dxfId="20" priority="20">
      <formula>IF($G7&lt;$I7,TRUE)</formula>
    </cfRule>
  </conditionalFormatting>
  <conditionalFormatting sqref="J7:J20">
    <cfRule type="containsText" dxfId="21" priority="5" operator="between" text="vaba voor">
      <formula>NOT(ISERROR(SEARCH("vaba voor",J7)))</formula>
    </cfRule>
  </conditionalFormatting>
  <conditionalFormatting sqref="K7:K20">
    <cfRule type="expression" dxfId="20" priority="23">
      <formula>IF($K7&gt;$M7,TRUE)</formula>
    </cfRule>
  </conditionalFormatting>
  <conditionalFormatting sqref="M7:M20">
    <cfRule type="expression" dxfId="20" priority="24">
      <formula>IF($K7&lt;$M7,TRUE)</formula>
    </cfRule>
  </conditionalFormatting>
  <conditionalFormatting sqref="N7:N20">
    <cfRule type="containsText" dxfId="21" priority="4" operator="between" text="vaba voor">
      <formula>NOT(ISERROR(SEARCH("vaba voor",N7)))</formula>
    </cfRule>
  </conditionalFormatting>
  <conditionalFormatting sqref="O7:O20">
    <cfRule type="expression" dxfId="20" priority="27">
      <formula>IF($O7&gt;$Q7,TRUE)</formula>
    </cfRule>
  </conditionalFormatting>
  <conditionalFormatting sqref="Q7:Q20">
    <cfRule type="expression" dxfId="20" priority="28">
      <formula>IF($O7&lt;$Q7,TRUE)</formula>
    </cfRule>
  </conditionalFormatting>
  <conditionalFormatting sqref="R7:R20">
    <cfRule type="containsText" dxfId="21" priority="7" operator="between" text="vaba voor">
      <formula>NOT(ISERROR(SEARCH("vaba voor",R7)))</formula>
    </cfRule>
  </conditionalFormatting>
  <conditionalFormatting sqref="S7:S20">
    <cfRule type="expression" dxfId="20" priority="31">
      <formula>IF($S7&gt;$U7,TRUE)</formula>
    </cfRule>
  </conditionalFormatting>
  <conditionalFormatting sqref="U7:U20">
    <cfRule type="expression" dxfId="20" priority="32">
      <formula>IF($S7&lt;$U7,TRUE)</formula>
    </cfRule>
  </conditionalFormatting>
  <conditionalFormatting sqref="V7:V20">
    <cfRule type="containsText" dxfId="21" priority="3" operator="between" text="vaba voor">
      <formula>NOT(ISERROR(SEARCH("vaba voor",V7)))</formula>
    </cfRule>
  </conditionalFormatting>
  <conditionalFormatting sqref="AF7:AF20">
    <cfRule type="expression" dxfId="22" priority="37">
      <formula>AND(AE7="",COUNTIF(AF7,"*,*")=0)</formula>
    </cfRule>
  </conditionalFormatting>
  <conditionalFormatting sqref="C7:F20">
    <cfRule type="expression" dxfId="5" priority="11">
      <formula>IF(AND(ISNUMBER($C7),$C7=$E7),TRUE)</formula>
    </cfRule>
    <cfRule type="expression" dxfId="7" priority="13">
      <formula>IF($C7&gt;$E7,TRUE)</formula>
    </cfRule>
    <cfRule type="expression" dxfId="23" priority="14">
      <formula>IF($C7&lt;$E7,TRUE)</formula>
    </cfRule>
  </conditionalFormatting>
  <conditionalFormatting sqref="C7:C20;G7:G20;K7:K20;O7:O20;S7:S20">
    <cfRule type="expression" dxfId="24" priority="1">
      <formula>AND(C7=0,E7=13)</formula>
    </cfRule>
  </conditionalFormatting>
  <conditionalFormatting sqref="E7:E20;I7:I20;M7:M20;Q7:Q20;U7:U20">
    <cfRule type="expression" dxfId="24" priority="2">
      <formula>AND(E7=0,C7=13)</formula>
    </cfRule>
  </conditionalFormatting>
  <conditionalFormatting sqref="G7:J20">
    <cfRule type="expression" dxfId="5" priority="12">
      <formula>IF(AND(ISNUMBER($G7),$G7=$I7),TRUE)</formula>
    </cfRule>
    <cfRule type="expression" dxfId="7" priority="17">
      <formula>IF($G7&gt;$I7,TRUE)</formula>
    </cfRule>
    <cfRule type="expression" dxfId="23" priority="18">
      <formula>IF($G7&lt;$I7,TRUE)</formula>
    </cfRule>
  </conditionalFormatting>
  <conditionalFormatting sqref="K7:N20">
    <cfRule type="expression" dxfId="5" priority="10">
      <formula>IF(AND(ISNUMBER($K7),$K7=$M7),TRUE)</formula>
    </cfRule>
    <cfRule type="expression" dxfId="7" priority="21">
      <formula>IF($K7&gt;$M7,TRUE)</formula>
    </cfRule>
    <cfRule type="expression" dxfId="23" priority="22">
      <formula>IF($K7&lt;$M7,TRUE)</formula>
    </cfRule>
  </conditionalFormatting>
  <conditionalFormatting sqref="O7:R20">
    <cfRule type="expression" dxfId="5" priority="9">
      <formula>IF(AND(ISNUMBER($O7),$O7=$Q7),TRUE)</formula>
    </cfRule>
    <cfRule type="expression" dxfId="7" priority="25">
      <formula>IF($O7&gt;$Q7,TRUE)</formula>
    </cfRule>
    <cfRule type="expression" dxfId="23" priority="26">
      <formula>IF($O7&lt;$Q7,TRUE)</formula>
    </cfRule>
  </conditionalFormatting>
  <conditionalFormatting sqref="S7:V20">
    <cfRule type="expression" dxfId="5" priority="8">
      <formula>IF(AND(ISNUMBER($S7),$S7=$U7),TRUE)</formula>
    </cfRule>
    <cfRule type="expression" dxfId="7" priority="29">
      <formula>IF($S7&gt;$U7,TRUE)</formula>
    </cfRule>
    <cfRule type="expression" dxfId="23" priority="30">
      <formula>IF($S7&lt;$U7,TRUE)</formula>
    </cfRule>
  </conditionalFormatting>
  <conditionalFormatting sqref="AJ7:AJ20;AH7:AH20;AL7:AL20">
    <cfRule type="expression" dxfId="25" priority="36">
      <formula>AND(AG7="",FIND(",",AH7))</formula>
    </cfRule>
    <cfRule type="expression" dxfId="22" priority="38">
      <formula>AND(AG7="",COUNTIF(AH7,"*,*")=0)</formula>
    </cfRule>
  </conditionalFormatting>
  <conditionalFormatting sqref="AN7:AN20;AP7:AP20">
    <cfRule type="expression" dxfId="22" priority="34">
      <formula>AND(AM7="",COUNTIF(AN7,"*,*")=0)</formula>
    </cfRule>
    <cfRule type="expression" dxfId="25" priority="35">
      <formula>AND(AM7="",FIND(",",AN7))</formula>
    </cfRule>
  </conditionalFormatting>
  <pageMargins left="0.393700787401575" right="0.393700787401575" top="0.78740157480315" bottom="0.393700787401575" header="0.78740157480315" footer="0"/>
  <pageSetup paperSize="9" fitToHeight="0" orientation="landscape" verticalDpi="1200"/>
  <headerFooter>
    <oddHeader>&amp;R&amp;P. leht &amp;N&amp; -st</oddHead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J323"/>
  <sheetViews>
    <sheetView showGridLines="0" showRowColHeaders="0" workbookViewId="0">
      <pane ySplit="1" topLeftCell="A2" activePane="bottomLeft" state="frozen"/>
      <selection/>
      <selection pane="bottomLeft" activeCell="A5" sqref="A5"/>
    </sheetView>
  </sheetViews>
  <sheetFormatPr defaultColWidth="9" defaultRowHeight="12.3"/>
  <cols>
    <col min="1" max="1" width="3.28828828828829" style="3" customWidth="1"/>
    <col min="2" max="2" width="13.972972972973" style="3" customWidth="1"/>
    <col min="3" max="3" width="4.71171171171171" style="3" customWidth="1"/>
    <col min="4" max="4" width="1.14414414414414" style="3" customWidth="1"/>
    <col min="5" max="5" width="2.71171171171171" style="3" customWidth="1"/>
    <col min="6" max="6" width="9.14414414414414" style="3"/>
    <col min="7" max="7" width="2.71171171171171" style="3" customWidth="1"/>
    <col min="8" max="8" width="1.14414414414414" style="3" customWidth="1"/>
    <col min="9" max="9" width="2.71171171171171" style="3" customWidth="1"/>
    <col min="10" max="10" width="9.14414414414414" style="3"/>
    <col min="11" max="11" width="2.71171171171171" style="3" customWidth="1"/>
    <col min="12" max="12" width="1.14414414414414" style="3" customWidth="1"/>
    <col min="13" max="13" width="2.71171171171171" style="3" customWidth="1"/>
    <col min="14" max="14" width="9.14414414414414" style="3"/>
    <col min="15" max="15" width="2.71171171171171" style="3" customWidth="1"/>
    <col min="16" max="16" width="1.14414414414414" style="3" customWidth="1"/>
    <col min="17" max="17" width="2.71171171171171" style="3" customWidth="1"/>
    <col min="18" max="18" width="9.14414414414414" style="3"/>
    <col min="19" max="19" width="2.71171171171171" style="3" customWidth="1"/>
    <col min="20" max="20" width="1.14414414414414" style="3" customWidth="1"/>
    <col min="21" max="21" width="2.71171171171171" style="3" customWidth="1"/>
    <col min="22" max="22" width="9.14414414414414" style="3" customWidth="1"/>
    <col min="23" max="23" width="2.71171171171171" style="3" hidden="1" customWidth="1"/>
    <col min="24" max="24" width="1.14414414414414" style="3" hidden="1" customWidth="1"/>
    <col min="25" max="25" width="2.71171171171171" style="3" hidden="1" customWidth="1"/>
    <col min="26" max="26" width="9.14414414414414" style="3" hidden="1" customWidth="1"/>
    <col min="27" max="28" width="5.71171171171171" style="3" customWidth="1"/>
    <col min="29" max="29" width="6.85585585585586" style="3" hidden="1" customWidth="1"/>
    <col min="30" max="30" width="2.71171171171171" style="3" customWidth="1"/>
    <col min="31" max="31" width="1.14414414414414" style="3" customWidth="1"/>
    <col min="32" max="32" width="2.71171171171171" style="3" customWidth="1"/>
    <col min="33" max="33" width="3.56756756756757" style="3" customWidth="1"/>
    <col min="34" max="34" width="9" style="3" hidden="1" customWidth="1"/>
    <col min="35" max="35" width="17" style="3" hidden="1" customWidth="1"/>
    <col min="36" max="36" width="9" style="3" hidden="1" customWidth="1"/>
    <col min="37" max="16384" width="9.14414414414414" style="3"/>
  </cols>
  <sheetData>
    <row r="1" spans="1:36">
      <c r="A1" s="4" t="str">
        <f>UPPER((Kalend!E9)&amp;" - "&amp;(Kalend!C9))&amp;" - "&amp;LOWER(Kalend!D9)&amp;" - "&amp;(Kalend!A9)&amp;" kell "&amp;(Kalend!B9)&amp;" - "&amp;(Kalend!F9)</f>
        <v>IV-Ü - IDA-VIRUMAA MV - üksik - P, 19.05.2024 kell 11:00 - Voka staadion</v>
      </c>
      <c r="O1" s="6"/>
      <c r="P1" s="6"/>
      <c r="Q1" s="20"/>
      <c r="R1" s="20"/>
      <c r="S1" s="20"/>
      <c r="T1" s="21"/>
      <c r="U1" s="21"/>
      <c r="V1" s="21"/>
      <c r="W1" s="6"/>
      <c r="X1" s="22"/>
      <c r="Y1" s="6"/>
      <c r="Z1" s="6"/>
      <c r="AA1" s="6"/>
      <c r="AH1" s="30" t="s">
        <v>149</v>
      </c>
      <c r="AI1" s="31"/>
      <c r="AJ1" s="31"/>
    </row>
    <row r="2" spans="1:35">
      <c r="A2" s="5"/>
      <c r="F2" s="6"/>
      <c r="L2" s="19"/>
      <c r="M2" s="19"/>
      <c r="N2" s="19"/>
      <c r="O2" s="6"/>
      <c r="P2" s="6"/>
      <c r="Q2" s="6"/>
      <c r="S2" s="6"/>
      <c r="T2" s="19"/>
      <c r="U2" s="19"/>
      <c r="V2" s="23" t="s">
        <v>322</v>
      </c>
      <c r="AA2" s="24">
        <v>1</v>
      </c>
      <c r="AB2" s="6" t="s">
        <v>323</v>
      </c>
      <c r="AC2" s="6"/>
      <c r="AD2" s="6"/>
      <c r="AE2" s="6"/>
      <c r="AF2" s="6"/>
      <c r="AI2" s="6"/>
    </row>
    <row r="3" spans="1:36">
      <c r="A3" s="5"/>
      <c r="F3" s="6"/>
      <c r="L3" s="6"/>
      <c r="M3" s="6"/>
      <c r="N3" s="6"/>
      <c r="O3" s="6"/>
      <c r="P3" s="6"/>
      <c r="Q3" s="6"/>
      <c r="S3" s="6"/>
      <c r="T3" s="6"/>
      <c r="U3" s="6"/>
      <c r="V3" s="25" t="s">
        <v>324</v>
      </c>
      <c r="AA3" s="24">
        <v>0.5</v>
      </c>
      <c r="AB3" s="6" t="s">
        <v>325</v>
      </c>
      <c r="AC3" s="6"/>
      <c r="AD3" s="6"/>
      <c r="AE3" s="6"/>
      <c r="AF3" s="6"/>
      <c r="AI3" s="19"/>
      <c r="AJ3" s="19"/>
    </row>
    <row r="4" spans="6:32">
      <c r="F4" s="6"/>
      <c r="L4" s="6"/>
      <c r="M4" s="6"/>
      <c r="N4" s="6"/>
      <c r="O4" s="6"/>
      <c r="P4" s="6"/>
      <c r="Q4" s="6"/>
      <c r="S4" s="6"/>
      <c r="T4" s="6"/>
      <c r="U4" s="6"/>
      <c r="V4" s="26" t="s">
        <v>326</v>
      </c>
      <c r="AA4" s="24">
        <v>0</v>
      </c>
      <c r="AB4" s="6" t="s">
        <v>325</v>
      </c>
      <c r="AC4" s="6"/>
      <c r="AD4" s="6"/>
      <c r="AE4" s="6"/>
      <c r="AF4" s="6"/>
    </row>
    <row r="5" spans="6:34">
      <c r="F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AA5" s="6"/>
      <c r="AB5" s="6"/>
      <c r="AC5" s="6"/>
      <c r="AD5" s="6"/>
      <c r="AE5" s="6"/>
      <c r="AF5" s="32" t="s">
        <v>327</v>
      </c>
      <c r="AH5" s="33" t="s">
        <v>328</v>
      </c>
    </row>
    <row r="6" spans="1:36">
      <c r="A6" s="7" t="s">
        <v>329</v>
      </c>
      <c r="B6" s="7" t="s">
        <v>180</v>
      </c>
      <c r="C6" s="8" t="s">
        <v>330</v>
      </c>
      <c r="D6" s="9"/>
      <c r="E6" s="9"/>
      <c r="F6" s="10"/>
      <c r="G6" s="8" t="s">
        <v>331</v>
      </c>
      <c r="H6" s="9"/>
      <c r="I6" s="9"/>
      <c r="J6" s="10"/>
      <c r="K6" s="8" t="s">
        <v>332</v>
      </c>
      <c r="L6" s="9"/>
      <c r="M6" s="9"/>
      <c r="N6" s="10"/>
      <c r="O6" s="8" t="s">
        <v>333</v>
      </c>
      <c r="P6" s="9"/>
      <c r="Q6" s="9"/>
      <c r="R6" s="10"/>
      <c r="S6" s="8" t="s">
        <v>334</v>
      </c>
      <c r="T6" s="9"/>
      <c r="U6" s="9"/>
      <c r="V6" s="10"/>
      <c r="W6" s="8" t="s">
        <v>376</v>
      </c>
      <c r="X6" s="9"/>
      <c r="Y6" s="9"/>
      <c r="Z6" s="10"/>
      <c r="AA6" s="117" t="s">
        <v>162</v>
      </c>
      <c r="AB6" s="7" t="s">
        <v>335</v>
      </c>
      <c r="AC6" s="7" t="s">
        <v>336</v>
      </c>
      <c r="AD6" s="7"/>
      <c r="AE6" s="34" t="s">
        <v>337</v>
      </c>
      <c r="AF6" s="35"/>
      <c r="AG6" s="36" t="s">
        <v>338</v>
      </c>
      <c r="AH6" s="37" t="s">
        <v>147</v>
      </c>
      <c r="AI6" s="38" t="s">
        <v>180</v>
      </c>
      <c r="AJ6" s="38"/>
    </row>
    <row r="7" spans="1:36">
      <c r="A7" s="11">
        <v>1</v>
      </c>
      <c r="B7" s="12" t="s">
        <v>207</v>
      </c>
      <c r="C7" s="13">
        <v>13</v>
      </c>
      <c r="D7" s="14" t="s">
        <v>346</v>
      </c>
      <c r="E7" s="14">
        <v>11</v>
      </c>
      <c r="F7" s="15" t="s">
        <v>209</v>
      </c>
      <c r="G7" s="13">
        <v>13</v>
      </c>
      <c r="H7" s="14" t="s">
        <v>346</v>
      </c>
      <c r="I7" s="14">
        <v>12</v>
      </c>
      <c r="J7" s="15" t="s">
        <v>199</v>
      </c>
      <c r="K7" s="13">
        <v>13</v>
      </c>
      <c r="L7" s="14" t="s">
        <v>346</v>
      </c>
      <c r="M7" s="14">
        <v>7</v>
      </c>
      <c r="N7" s="15" t="s">
        <v>201</v>
      </c>
      <c r="O7" s="13">
        <v>13</v>
      </c>
      <c r="P7" s="14" t="s">
        <v>346</v>
      </c>
      <c r="Q7" s="14">
        <v>12</v>
      </c>
      <c r="R7" s="15" t="s">
        <v>212</v>
      </c>
      <c r="S7" s="13">
        <v>13</v>
      </c>
      <c r="T7" s="14" t="s">
        <v>346</v>
      </c>
      <c r="U7" s="14">
        <v>11</v>
      </c>
      <c r="V7" s="15" t="s">
        <v>64</v>
      </c>
      <c r="W7" s="13"/>
      <c r="X7" s="14"/>
      <c r="Y7" s="14"/>
      <c r="Z7" s="15"/>
      <c r="AA7" s="118">
        <v>5</v>
      </c>
      <c r="AB7" s="29">
        <v>28</v>
      </c>
      <c r="AC7" s="29"/>
      <c r="AD7" s="13">
        <f t="shared" ref="AD7:AD30" si="0">C7+G7+K7+O7+S7</f>
        <v>65</v>
      </c>
      <c r="AE7" s="14" t="s">
        <v>346</v>
      </c>
      <c r="AF7" s="39">
        <f t="shared" ref="AF7:AF30" si="1">E7+I7+M7+Q7+U7</f>
        <v>53</v>
      </c>
      <c r="AG7" s="40">
        <f t="shared" ref="AG7:AG30" si="2">AD7-AF7</f>
        <v>12</v>
      </c>
      <c r="AH7" s="41">
        <f t="shared" ref="AH7:AH30" si="3">SUM(AI7:AJ7)</f>
        <v>102</v>
      </c>
      <c r="AI7" s="61" t="str">
        <f t="shared" ref="AI7:AI30" si="4">$B7</f>
        <v>Elmo Lageda</v>
      </c>
      <c r="AJ7" s="42">
        <f>IFERROR(INDEX(V!$R:$R,MATCH(AI7,V!$L:$L,0)),"")</f>
        <v>102</v>
      </c>
    </row>
    <row r="8" spans="1:36">
      <c r="A8" s="11">
        <v>2</v>
      </c>
      <c r="B8" s="16" t="s">
        <v>64</v>
      </c>
      <c r="C8" s="13">
        <v>13</v>
      </c>
      <c r="D8" s="14" t="s">
        <v>346</v>
      </c>
      <c r="E8" s="14">
        <v>3</v>
      </c>
      <c r="F8" s="15" t="s">
        <v>202</v>
      </c>
      <c r="G8" s="13">
        <v>13</v>
      </c>
      <c r="H8" s="14" t="s">
        <v>346</v>
      </c>
      <c r="I8" s="14">
        <v>11</v>
      </c>
      <c r="J8" s="15" t="s">
        <v>236</v>
      </c>
      <c r="K8" s="13">
        <v>13</v>
      </c>
      <c r="L8" s="14" t="s">
        <v>346</v>
      </c>
      <c r="M8" s="14">
        <v>3</v>
      </c>
      <c r="N8" s="15" t="s">
        <v>192</v>
      </c>
      <c r="O8" s="13">
        <v>13</v>
      </c>
      <c r="P8" s="14" t="s">
        <v>346</v>
      </c>
      <c r="Q8" s="14">
        <v>9</v>
      </c>
      <c r="R8" s="15" t="s">
        <v>204</v>
      </c>
      <c r="S8" s="13">
        <v>11</v>
      </c>
      <c r="T8" s="14" t="s">
        <v>346</v>
      </c>
      <c r="U8" s="14">
        <v>13</v>
      </c>
      <c r="V8" s="15" t="s">
        <v>207</v>
      </c>
      <c r="W8" s="13"/>
      <c r="X8" s="14"/>
      <c r="Y8" s="14"/>
      <c r="Z8" s="15"/>
      <c r="AA8" s="118">
        <v>5</v>
      </c>
      <c r="AB8" s="29">
        <v>28</v>
      </c>
      <c r="AC8" s="29"/>
      <c r="AD8" s="13">
        <f t="shared" si="0"/>
        <v>63</v>
      </c>
      <c r="AE8" s="14" t="s">
        <v>346</v>
      </c>
      <c r="AF8" s="39">
        <f t="shared" si="1"/>
        <v>39</v>
      </c>
      <c r="AG8" s="40">
        <f t="shared" si="2"/>
        <v>24</v>
      </c>
      <c r="AH8" s="60">
        <f>SUM(AJ8:AJ8)</f>
        <v>24</v>
      </c>
      <c r="AI8" s="61" t="str">
        <f t="shared" si="4"/>
        <v>Ivar Viljaste</v>
      </c>
      <c r="AJ8" s="42">
        <f>IFERROR(INDEX(V!$R:$R,MATCH(AI8,V!$L:$L,0)),"")</f>
        <v>24</v>
      </c>
    </row>
    <row r="9" spans="1:36">
      <c r="A9" s="11">
        <v>3</v>
      </c>
      <c r="B9" s="17" t="s">
        <v>201</v>
      </c>
      <c r="C9" s="13">
        <v>13</v>
      </c>
      <c r="D9" s="14" t="s">
        <v>346</v>
      </c>
      <c r="E9" s="14">
        <v>4</v>
      </c>
      <c r="F9" s="15" t="s">
        <v>235</v>
      </c>
      <c r="G9" s="13">
        <v>13</v>
      </c>
      <c r="H9" s="14" t="s">
        <v>346</v>
      </c>
      <c r="I9" s="14">
        <v>10</v>
      </c>
      <c r="J9" s="15" t="s">
        <v>205</v>
      </c>
      <c r="K9" s="13">
        <v>7</v>
      </c>
      <c r="L9" s="14" t="s">
        <v>346</v>
      </c>
      <c r="M9" s="14">
        <v>13</v>
      </c>
      <c r="N9" s="15" t="s">
        <v>207</v>
      </c>
      <c r="O9" s="13">
        <v>13</v>
      </c>
      <c r="P9" s="14" t="s">
        <v>346</v>
      </c>
      <c r="Q9" s="14">
        <v>6</v>
      </c>
      <c r="R9" s="15" t="s">
        <v>236</v>
      </c>
      <c r="S9" s="13">
        <v>13</v>
      </c>
      <c r="T9" s="14" t="s">
        <v>346</v>
      </c>
      <c r="U9" s="14">
        <v>9</v>
      </c>
      <c r="V9" s="15" t="s">
        <v>204</v>
      </c>
      <c r="W9" s="13"/>
      <c r="X9" s="14"/>
      <c r="Y9" s="14"/>
      <c r="Z9" s="15"/>
      <c r="AA9" s="118">
        <v>4</v>
      </c>
      <c r="AB9" s="29">
        <v>28</v>
      </c>
      <c r="AC9" s="29"/>
      <c r="AD9" s="13">
        <f>C15+G15+K15+O15+S15</f>
        <v>51</v>
      </c>
      <c r="AE9" s="14" t="s">
        <v>346</v>
      </c>
      <c r="AF9" s="39">
        <f>E15+I15+M15+Q15+U15</f>
        <v>51</v>
      </c>
      <c r="AG9" s="40">
        <f>AD15-AF15</f>
        <v>0</v>
      </c>
      <c r="AH9" s="41">
        <f>SUM(AI15:AJ15)</f>
        <v>26</v>
      </c>
      <c r="AI9" s="61" t="str">
        <f>$B15</f>
        <v>Jaan Saar</v>
      </c>
      <c r="AJ9" s="42">
        <f>IFERROR(INDEX(V!$R:$R,MATCH(AI15,V!$L:$L,0)),"")</f>
        <v>26</v>
      </c>
    </row>
    <row r="10" spans="1:36">
      <c r="A10" s="11">
        <v>4</v>
      </c>
      <c r="B10" s="17" t="s">
        <v>296</v>
      </c>
      <c r="C10" s="13">
        <v>13</v>
      </c>
      <c r="D10" s="14" t="s">
        <v>346</v>
      </c>
      <c r="E10" s="14">
        <v>10</v>
      </c>
      <c r="F10" s="15" t="s">
        <v>230</v>
      </c>
      <c r="G10" s="13">
        <v>12</v>
      </c>
      <c r="H10" s="14" t="s">
        <v>346</v>
      </c>
      <c r="I10" s="14">
        <v>13</v>
      </c>
      <c r="J10" s="15" t="s">
        <v>204</v>
      </c>
      <c r="K10" s="13">
        <v>13</v>
      </c>
      <c r="L10" s="14" t="s">
        <v>346</v>
      </c>
      <c r="M10" s="14">
        <v>9</v>
      </c>
      <c r="N10" s="15" t="s">
        <v>199</v>
      </c>
      <c r="O10" s="13">
        <v>13</v>
      </c>
      <c r="P10" s="14" t="s">
        <v>346</v>
      </c>
      <c r="Q10" s="14">
        <v>8</v>
      </c>
      <c r="R10" s="15" t="s">
        <v>192</v>
      </c>
      <c r="S10" s="13">
        <v>13</v>
      </c>
      <c r="T10" s="14" t="s">
        <v>346</v>
      </c>
      <c r="U10" s="14">
        <v>11</v>
      </c>
      <c r="V10" s="15" t="s">
        <v>219</v>
      </c>
      <c r="W10" s="13"/>
      <c r="X10" s="14"/>
      <c r="Y10" s="14"/>
      <c r="Z10" s="15"/>
      <c r="AA10" s="118">
        <v>4</v>
      </c>
      <c r="AB10" s="29">
        <v>26</v>
      </c>
      <c r="AC10" s="29"/>
      <c r="AD10" s="13">
        <f t="shared" si="0"/>
        <v>64</v>
      </c>
      <c r="AE10" s="14" t="s">
        <v>346</v>
      </c>
      <c r="AF10" s="39">
        <f t="shared" si="1"/>
        <v>51</v>
      </c>
      <c r="AG10" s="40">
        <f t="shared" si="2"/>
        <v>13</v>
      </c>
      <c r="AH10" s="41">
        <f t="shared" si="3"/>
        <v>0</v>
      </c>
      <c r="AI10" s="61" t="str">
        <f t="shared" si="4"/>
        <v>Oskar Sepp</v>
      </c>
      <c r="AJ10" s="42">
        <f>IFERROR(INDEX(V!$R:$R,MATCH(AI10,V!$L:$L,0)),"")</f>
        <v>0</v>
      </c>
    </row>
    <row r="11" spans="1:36">
      <c r="A11" s="11">
        <v>5</v>
      </c>
      <c r="B11" s="16" t="s">
        <v>248</v>
      </c>
      <c r="C11" s="13">
        <v>5</v>
      </c>
      <c r="D11" s="14" t="s">
        <v>346</v>
      </c>
      <c r="E11" s="14">
        <v>13</v>
      </c>
      <c r="F11" s="15" t="s">
        <v>205</v>
      </c>
      <c r="G11" s="13">
        <v>13</v>
      </c>
      <c r="H11" s="14" t="s">
        <v>346</v>
      </c>
      <c r="I11" s="14">
        <v>15</v>
      </c>
      <c r="J11" s="15" t="s">
        <v>235</v>
      </c>
      <c r="K11" s="13">
        <v>13</v>
      </c>
      <c r="L11" s="14" t="s">
        <v>346</v>
      </c>
      <c r="M11" s="14">
        <v>9</v>
      </c>
      <c r="N11" s="15" t="s">
        <v>202</v>
      </c>
      <c r="O11" s="13">
        <v>13</v>
      </c>
      <c r="P11" s="14" t="s">
        <v>346</v>
      </c>
      <c r="Q11" s="14">
        <v>5</v>
      </c>
      <c r="R11" s="15" t="s">
        <v>233</v>
      </c>
      <c r="S11" s="13">
        <v>13</v>
      </c>
      <c r="T11" s="14" t="s">
        <v>346</v>
      </c>
      <c r="U11" s="14">
        <v>12</v>
      </c>
      <c r="V11" s="15" t="s">
        <v>212</v>
      </c>
      <c r="W11" s="13"/>
      <c r="X11" s="14"/>
      <c r="Y11" s="14"/>
      <c r="Z11" s="15"/>
      <c r="AA11" s="118">
        <v>4</v>
      </c>
      <c r="AB11" s="29">
        <v>22</v>
      </c>
      <c r="AC11" s="29"/>
      <c r="AD11" s="13">
        <f t="shared" si="0"/>
        <v>57</v>
      </c>
      <c r="AE11" s="14" t="s">
        <v>346</v>
      </c>
      <c r="AF11" s="39">
        <f t="shared" si="1"/>
        <v>54</v>
      </c>
      <c r="AG11" s="40">
        <f t="shared" si="2"/>
        <v>3</v>
      </c>
      <c r="AH11" s="41">
        <f t="shared" si="3"/>
        <v>0</v>
      </c>
      <c r="AI11" s="61" t="str">
        <f t="shared" si="4"/>
        <v>Aarne Välja</v>
      </c>
      <c r="AJ11" s="42">
        <f>IFERROR(INDEX(V!$R:$R,MATCH(AI11,V!$L:$L,0)),"")</f>
        <v>0</v>
      </c>
    </row>
    <row r="12" spans="1:36">
      <c r="A12" s="11">
        <v>6</v>
      </c>
      <c r="B12" s="17" t="s">
        <v>204</v>
      </c>
      <c r="C12" s="13">
        <v>13</v>
      </c>
      <c r="D12" s="14" t="s">
        <v>346</v>
      </c>
      <c r="E12" s="14">
        <v>10</v>
      </c>
      <c r="F12" s="15" t="s">
        <v>377</v>
      </c>
      <c r="G12" s="13">
        <v>13</v>
      </c>
      <c r="H12" s="14" t="s">
        <v>346</v>
      </c>
      <c r="I12" s="14">
        <v>12</v>
      </c>
      <c r="J12" s="15" t="s">
        <v>296</v>
      </c>
      <c r="K12" s="13">
        <v>13</v>
      </c>
      <c r="L12" s="14" t="s">
        <v>346</v>
      </c>
      <c r="M12" s="14">
        <v>9</v>
      </c>
      <c r="N12" s="15" t="s">
        <v>212</v>
      </c>
      <c r="O12" s="13">
        <v>9</v>
      </c>
      <c r="P12" s="14" t="s">
        <v>346</v>
      </c>
      <c r="Q12" s="14">
        <v>13</v>
      </c>
      <c r="R12" s="15" t="s">
        <v>64</v>
      </c>
      <c r="S12" s="13">
        <v>9</v>
      </c>
      <c r="T12" s="14" t="s">
        <v>346</v>
      </c>
      <c r="U12" s="14">
        <v>13</v>
      </c>
      <c r="V12" s="15" t="s">
        <v>201</v>
      </c>
      <c r="W12" s="13"/>
      <c r="X12" s="14"/>
      <c r="Y12" s="14"/>
      <c r="Z12" s="15"/>
      <c r="AA12" s="118">
        <v>4</v>
      </c>
      <c r="AB12" s="29">
        <v>32</v>
      </c>
      <c r="AC12" s="29"/>
      <c r="AD12" s="13">
        <f t="shared" si="0"/>
        <v>57</v>
      </c>
      <c r="AE12" s="14" t="s">
        <v>346</v>
      </c>
      <c r="AF12" s="39">
        <f t="shared" si="1"/>
        <v>57</v>
      </c>
      <c r="AG12" s="40">
        <f t="shared" si="2"/>
        <v>0</v>
      </c>
      <c r="AH12" s="41">
        <f t="shared" si="3"/>
        <v>144</v>
      </c>
      <c r="AI12" s="61" t="str">
        <f t="shared" si="4"/>
        <v>Oleg Rõndenkov</v>
      </c>
      <c r="AJ12" s="42">
        <f>IFERROR(INDEX(V!$R:$R,MATCH(AI12,V!$L:$L,0)),"")</f>
        <v>144</v>
      </c>
    </row>
    <row r="13" spans="1:36">
      <c r="A13" s="11">
        <v>7</v>
      </c>
      <c r="B13" s="18" t="s">
        <v>205</v>
      </c>
      <c r="C13" s="13">
        <v>13</v>
      </c>
      <c r="D13" s="14" t="s">
        <v>346</v>
      </c>
      <c r="E13" s="14">
        <v>5</v>
      </c>
      <c r="F13" s="15" t="s">
        <v>248</v>
      </c>
      <c r="G13" s="13">
        <v>10</v>
      </c>
      <c r="H13" s="14" t="s">
        <v>346</v>
      </c>
      <c r="I13" s="14">
        <v>13</v>
      </c>
      <c r="J13" s="15" t="s">
        <v>201</v>
      </c>
      <c r="K13" s="13">
        <v>12</v>
      </c>
      <c r="L13" s="14" t="s">
        <v>346</v>
      </c>
      <c r="M13" s="14">
        <v>13</v>
      </c>
      <c r="N13" s="15" t="s">
        <v>236</v>
      </c>
      <c r="O13" s="13">
        <v>13</v>
      </c>
      <c r="P13" s="14" t="s">
        <v>346</v>
      </c>
      <c r="Q13" s="14">
        <v>11</v>
      </c>
      <c r="R13" s="15" t="s">
        <v>377</v>
      </c>
      <c r="S13" s="13">
        <v>13</v>
      </c>
      <c r="T13" s="14" t="s">
        <v>346</v>
      </c>
      <c r="U13" s="14">
        <v>11</v>
      </c>
      <c r="V13" s="15" t="s">
        <v>192</v>
      </c>
      <c r="W13" s="13"/>
      <c r="X13" s="14"/>
      <c r="Y13" s="14"/>
      <c r="Z13" s="15"/>
      <c r="AA13" s="118">
        <v>4</v>
      </c>
      <c r="AB13" s="29">
        <v>28</v>
      </c>
      <c r="AC13" s="29"/>
      <c r="AD13" s="13">
        <f t="shared" si="0"/>
        <v>61</v>
      </c>
      <c r="AE13" s="14" t="s">
        <v>346</v>
      </c>
      <c r="AF13" s="39">
        <f t="shared" si="1"/>
        <v>53</v>
      </c>
      <c r="AG13" s="40">
        <f t="shared" si="2"/>
        <v>8</v>
      </c>
      <c r="AH13" s="41">
        <f t="shared" si="3"/>
        <v>112</v>
      </c>
      <c r="AI13" s="61" t="str">
        <f t="shared" si="4"/>
        <v>Jaan Sepp</v>
      </c>
      <c r="AJ13" s="42">
        <f>IFERROR(INDEX(V!$R:$R,MATCH(AI13,V!$L:$L,0)),"")</f>
        <v>112</v>
      </c>
    </row>
    <row r="14" spans="1:36">
      <c r="A14" s="11">
        <v>8</v>
      </c>
      <c r="B14" s="18" t="s">
        <v>199</v>
      </c>
      <c r="C14" s="13">
        <v>13</v>
      </c>
      <c r="D14" s="14" t="s">
        <v>346</v>
      </c>
      <c r="E14" s="14">
        <v>12</v>
      </c>
      <c r="F14" s="15" t="s">
        <v>232</v>
      </c>
      <c r="G14" s="13">
        <v>12</v>
      </c>
      <c r="H14" s="14" t="s">
        <v>346</v>
      </c>
      <c r="I14" s="14">
        <v>13</v>
      </c>
      <c r="J14" s="15" t="s">
        <v>207</v>
      </c>
      <c r="K14" s="13">
        <v>9</v>
      </c>
      <c r="L14" s="14" t="s">
        <v>346</v>
      </c>
      <c r="M14" s="14">
        <v>13</v>
      </c>
      <c r="N14" s="15" t="s">
        <v>296</v>
      </c>
      <c r="O14" s="13">
        <v>13</v>
      </c>
      <c r="P14" s="14" t="s">
        <v>346</v>
      </c>
      <c r="Q14" s="14">
        <v>4</v>
      </c>
      <c r="R14" s="15" t="s">
        <v>202</v>
      </c>
      <c r="S14" s="13">
        <v>13</v>
      </c>
      <c r="T14" s="14" t="s">
        <v>346</v>
      </c>
      <c r="U14" s="14">
        <v>9</v>
      </c>
      <c r="V14" s="15" t="s">
        <v>236</v>
      </c>
      <c r="W14" s="13"/>
      <c r="X14" s="14"/>
      <c r="Y14" s="14"/>
      <c r="Z14" s="15"/>
      <c r="AA14" s="118">
        <v>3</v>
      </c>
      <c r="AB14" s="29">
        <v>26</v>
      </c>
      <c r="AC14" s="29"/>
      <c r="AD14" s="13">
        <f t="shared" si="0"/>
        <v>60</v>
      </c>
      <c r="AE14" s="14" t="s">
        <v>346</v>
      </c>
      <c r="AF14" s="39">
        <f t="shared" si="1"/>
        <v>51</v>
      </c>
      <c r="AG14" s="40">
        <f t="shared" si="2"/>
        <v>9</v>
      </c>
      <c r="AH14" s="41">
        <f t="shared" si="3"/>
        <v>146</v>
      </c>
      <c r="AI14" s="61" t="str">
        <f t="shared" si="4"/>
        <v>Meelis Luud</v>
      </c>
      <c r="AJ14" s="42">
        <f>IFERROR(INDEX(V!$R:$R,MATCH(AI14,V!$L:$L,0)),"")</f>
        <v>146</v>
      </c>
    </row>
    <row r="15" spans="1:36">
      <c r="A15" s="11">
        <v>9</v>
      </c>
      <c r="B15" s="17" t="s">
        <v>233</v>
      </c>
      <c r="C15" s="13">
        <v>7</v>
      </c>
      <c r="D15" s="14" t="s">
        <v>346</v>
      </c>
      <c r="E15" s="14">
        <v>13</v>
      </c>
      <c r="F15" s="15" t="s">
        <v>212</v>
      </c>
      <c r="G15" s="13">
        <v>13</v>
      </c>
      <c r="H15" s="14" t="s">
        <v>346</v>
      </c>
      <c r="I15" s="14">
        <v>8</v>
      </c>
      <c r="J15" s="15" t="s">
        <v>213</v>
      </c>
      <c r="K15" s="13">
        <v>13</v>
      </c>
      <c r="L15" s="14" t="s">
        <v>346</v>
      </c>
      <c r="M15" s="14">
        <v>11</v>
      </c>
      <c r="N15" s="15" t="s">
        <v>197</v>
      </c>
      <c r="O15" s="13">
        <v>5</v>
      </c>
      <c r="P15" s="14" t="s">
        <v>346</v>
      </c>
      <c r="Q15" s="14">
        <v>13</v>
      </c>
      <c r="R15" s="15" t="s">
        <v>248</v>
      </c>
      <c r="S15" s="13">
        <v>13</v>
      </c>
      <c r="T15" s="14" t="s">
        <v>346</v>
      </c>
      <c r="U15" s="14">
        <v>6</v>
      </c>
      <c r="V15" s="15" t="s">
        <v>223</v>
      </c>
      <c r="W15" s="13"/>
      <c r="X15" s="14"/>
      <c r="Y15" s="14"/>
      <c r="Z15" s="15"/>
      <c r="AA15" s="118">
        <v>3</v>
      </c>
      <c r="AB15" s="29">
        <v>26</v>
      </c>
      <c r="AC15" s="29"/>
      <c r="AD15" s="13">
        <f t="shared" si="0"/>
        <v>51</v>
      </c>
      <c r="AE15" s="14" t="s">
        <v>346</v>
      </c>
      <c r="AF15" s="39">
        <f t="shared" si="1"/>
        <v>51</v>
      </c>
      <c r="AG15" s="40">
        <f t="shared" si="2"/>
        <v>0</v>
      </c>
      <c r="AH15" s="41">
        <f t="shared" si="3"/>
        <v>26</v>
      </c>
      <c r="AI15" s="61" t="str">
        <f t="shared" si="4"/>
        <v>Jaan Saar</v>
      </c>
      <c r="AJ15" s="42">
        <f>IFERROR(INDEX(V!$R:$R,MATCH(AI15,V!$L:$L,0)),"")</f>
        <v>26</v>
      </c>
    </row>
    <row r="16" spans="1:36">
      <c r="A16" s="11">
        <v>10</v>
      </c>
      <c r="B16" s="18" t="s">
        <v>219</v>
      </c>
      <c r="C16" s="13">
        <v>13</v>
      </c>
      <c r="D16" s="14" t="s">
        <v>346</v>
      </c>
      <c r="E16" s="14">
        <v>8</v>
      </c>
      <c r="F16" s="15" t="s">
        <v>213</v>
      </c>
      <c r="G16" s="13">
        <v>11</v>
      </c>
      <c r="H16" s="14" t="s">
        <v>346</v>
      </c>
      <c r="I16" s="14">
        <v>13</v>
      </c>
      <c r="J16" s="15" t="s">
        <v>212</v>
      </c>
      <c r="K16" s="13">
        <v>13</v>
      </c>
      <c r="L16" s="14" t="s">
        <v>346</v>
      </c>
      <c r="M16" s="14">
        <v>10</v>
      </c>
      <c r="N16" s="15" t="s">
        <v>209</v>
      </c>
      <c r="O16" s="13">
        <v>13</v>
      </c>
      <c r="P16" s="14" t="s">
        <v>346</v>
      </c>
      <c r="Q16" s="14">
        <v>5</v>
      </c>
      <c r="R16" s="15" t="s">
        <v>223</v>
      </c>
      <c r="S16" s="13">
        <v>11</v>
      </c>
      <c r="T16" s="14" t="s">
        <v>346</v>
      </c>
      <c r="U16" s="14">
        <v>13</v>
      </c>
      <c r="V16" s="15" t="s">
        <v>296</v>
      </c>
      <c r="W16" s="13"/>
      <c r="X16" s="14"/>
      <c r="Y16" s="14"/>
      <c r="Z16" s="15"/>
      <c r="AA16" s="118">
        <v>3</v>
      </c>
      <c r="AB16" s="29">
        <v>22</v>
      </c>
      <c r="AC16" s="29"/>
      <c r="AD16" s="13">
        <f t="shared" si="0"/>
        <v>61</v>
      </c>
      <c r="AE16" s="14" t="s">
        <v>346</v>
      </c>
      <c r="AF16" s="39">
        <f t="shared" si="1"/>
        <v>49</v>
      </c>
      <c r="AG16" s="40">
        <f t="shared" si="2"/>
        <v>12</v>
      </c>
      <c r="AH16" s="41">
        <f t="shared" si="3"/>
        <v>72</v>
      </c>
      <c r="AI16" s="61" t="str">
        <f t="shared" si="4"/>
        <v>Hillar Neiland</v>
      </c>
      <c r="AJ16" s="42">
        <f>IFERROR(INDEX(V!$R:$R,MATCH(AI16,V!$L:$L,0)),"")</f>
        <v>72</v>
      </c>
    </row>
    <row r="17" spans="1:36">
      <c r="A17" s="11">
        <v>11</v>
      </c>
      <c r="B17" s="17" t="s">
        <v>197</v>
      </c>
      <c r="C17" s="13">
        <v>6</v>
      </c>
      <c r="D17" s="14" t="s">
        <v>346</v>
      </c>
      <c r="E17" s="14">
        <v>13</v>
      </c>
      <c r="F17" s="15" t="s">
        <v>192</v>
      </c>
      <c r="G17" s="13">
        <v>13</v>
      </c>
      <c r="H17" s="14" t="s">
        <v>346</v>
      </c>
      <c r="I17" s="14">
        <v>6</v>
      </c>
      <c r="J17" s="15" t="s">
        <v>238</v>
      </c>
      <c r="K17" s="13">
        <v>11</v>
      </c>
      <c r="L17" s="14" t="s">
        <v>346</v>
      </c>
      <c r="M17" s="14">
        <v>13</v>
      </c>
      <c r="N17" s="15" t="s">
        <v>233</v>
      </c>
      <c r="O17" s="13">
        <v>13</v>
      </c>
      <c r="P17" s="14" t="s">
        <v>346</v>
      </c>
      <c r="Q17" s="14">
        <v>5</v>
      </c>
      <c r="R17" s="15" t="s">
        <v>209</v>
      </c>
      <c r="S17" s="13">
        <v>13</v>
      </c>
      <c r="T17" s="14" t="s">
        <v>346</v>
      </c>
      <c r="U17" s="14">
        <v>12</v>
      </c>
      <c r="V17" s="15" t="s">
        <v>230</v>
      </c>
      <c r="W17" s="13"/>
      <c r="X17" s="14"/>
      <c r="Y17" s="14"/>
      <c r="Z17" s="15"/>
      <c r="AA17" s="118">
        <v>3</v>
      </c>
      <c r="AB17" s="29">
        <v>20</v>
      </c>
      <c r="AC17" s="29"/>
      <c r="AD17" s="13">
        <f t="shared" si="0"/>
        <v>56</v>
      </c>
      <c r="AE17" s="14" t="s">
        <v>346</v>
      </c>
      <c r="AF17" s="39">
        <f t="shared" si="1"/>
        <v>49</v>
      </c>
      <c r="AG17" s="40">
        <f t="shared" si="2"/>
        <v>7</v>
      </c>
      <c r="AH17" s="41">
        <f t="shared" si="3"/>
        <v>148</v>
      </c>
      <c r="AI17" s="61" t="str">
        <f t="shared" si="4"/>
        <v>Olav Türk</v>
      </c>
      <c r="AJ17" s="42">
        <f>IFERROR(INDEX(V!$R:$R,MATCH(AI17,V!$L:$L,0)),"")</f>
        <v>148</v>
      </c>
    </row>
    <row r="18" spans="1:36">
      <c r="A18" s="11">
        <v>12</v>
      </c>
      <c r="B18" s="18" t="s">
        <v>212</v>
      </c>
      <c r="C18" s="13">
        <v>13</v>
      </c>
      <c r="D18" s="14" t="s">
        <v>346</v>
      </c>
      <c r="E18" s="14">
        <v>7</v>
      </c>
      <c r="F18" s="15" t="s">
        <v>233</v>
      </c>
      <c r="G18" s="13">
        <v>13</v>
      </c>
      <c r="H18" s="14" t="s">
        <v>346</v>
      </c>
      <c r="I18" s="14">
        <v>11</v>
      </c>
      <c r="J18" s="15" t="s">
        <v>219</v>
      </c>
      <c r="K18" s="13">
        <v>9</v>
      </c>
      <c r="L18" s="14" t="s">
        <v>346</v>
      </c>
      <c r="M18" s="14">
        <v>13</v>
      </c>
      <c r="N18" s="15" t="s">
        <v>204</v>
      </c>
      <c r="O18" s="13">
        <v>12</v>
      </c>
      <c r="P18" s="14" t="s">
        <v>346</v>
      </c>
      <c r="Q18" s="14">
        <v>13</v>
      </c>
      <c r="R18" s="15" t="s">
        <v>207</v>
      </c>
      <c r="S18" s="13">
        <v>12</v>
      </c>
      <c r="T18" s="14" t="s">
        <v>346</v>
      </c>
      <c r="U18" s="14">
        <v>13</v>
      </c>
      <c r="V18" s="15" t="s">
        <v>248</v>
      </c>
      <c r="W18" s="13"/>
      <c r="X18" s="14"/>
      <c r="Y18" s="14"/>
      <c r="Z18" s="15"/>
      <c r="AA18" s="118">
        <v>3</v>
      </c>
      <c r="AB18" s="29">
        <v>36</v>
      </c>
      <c r="AC18" s="29"/>
      <c r="AD18" s="13">
        <f t="shared" si="0"/>
        <v>59</v>
      </c>
      <c r="AE18" s="14" t="s">
        <v>346</v>
      </c>
      <c r="AF18" s="39">
        <f t="shared" si="1"/>
        <v>57</v>
      </c>
      <c r="AG18" s="40">
        <f t="shared" si="2"/>
        <v>2</v>
      </c>
      <c r="AH18" s="41">
        <f t="shared" si="3"/>
        <v>96</v>
      </c>
      <c r="AI18" s="61" t="str">
        <f t="shared" si="4"/>
        <v>Andrei Grintšak</v>
      </c>
      <c r="AJ18" s="42">
        <f>IFERROR(INDEX(V!$R:$R,MATCH(AI18,V!$L:$L,0)),"")</f>
        <v>96</v>
      </c>
    </row>
    <row r="19" spans="1:36">
      <c r="A19" s="11">
        <v>13</v>
      </c>
      <c r="B19" s="17" t="s">
        <v>192</v>
      </c>
      <c r="C19" s="13">
        <v>13</v>
      </c>
      <c r="D19" s="14" t="s">
        <v>346</v>
      </c>
      <c r="E19" s="14">
        <v>6</v>
      </c>
      <c r="F19" s="15" t="s">
        <v>197</v>
      </c>
      <c r="G19" s="13">
        <v>13</v>
      </c>
      <c r="H19" s="14" t="s">
        <v>346</v>
      </c>
      <c r="I19" s="14">
        <v>10</v>
      </c>
      <c r="J19" s="15" t="s">
        <v>223</v>
      </c>
      <c r="K19" s="13">
        <v>3</v>
      </c>
      <c r="L19" s="14" t="s">
        <v>346</v>
      </c>
      <c r="M19" s="14">
        <v>13</v>
      </c>
      <c r="N19" s="15" t="s">
        <v>64</v>
      </c>
      <c r="O19" s="13">
        <v>8</v>
      </c>
      <c r="P19" s="14" t="s">
        <v>346</v>
      </c>
      <c r="Q19" s="14">
        <v>13</v>
      </c>
      <c r="R19" s="15" t="s">
        <v>296</v>
      </c>
      <c r="S19" s="13">
        <v>11</v>
      </c>
      <c r="T19" s="14" t="s">
        <v>346</v>
      </c>
      <c r="U19" s="14">
        <v>13</v>
      </c>
      <c r="V19" s="15" t="s">
        <v>205</v>
      </c>
      <c r="W19" s="13"/>
      <c r="X19" s="14"/>
      <c r="Y19" s="14"/>
      <c r="Z19" s="15"/>
      <c r="AA19" s="118">
        <v>3</v>
      </c>
      <c r="AB19" s="29">
        <v>32</v>
      </c>
      <c r="AC19" s="29"/>
      <c r="AD19" s="13">
        <f>C19+G19+K19+O19+S19</f>
        <v>48</v>
      </c>
      <c r="AE19" s="14" t="s">
        <v>346</v>
      </c>
      <c r="AF19" s="39">
        <f>E19+I19+M19+Q19+U19</f>
        <v>55</v>
      </c>
      <c r="AG19" s="40">
        <f>AD19-AF19</f>
        <v>-7</v>
      </c>
      <c r="AH19" s="41">
        <f>SUM(AI19:AJ19)</f>
        <v>176</v>
      </c>
      <c r="AI19" s="61" t="str">
        <f>$B19</f>
        <v>Vadim Tihhonjuk</v>
      </c>
      <c r="AJ19" s="42">
        <f>IFERROR(INDEX(V!$R:$R,MATCH(AI19,V!$L:$L,0)),"")</f>
        <v>176</v>
      </c>
    </row>
    <row r="20" spans="1:36">
      <c r="A20" s="11">
        <v>14</v>
      </c>
      <c r="B20" s="18" t="s">
        <v>236</v>
      </c>
      <c r="C20" s="13">
        <v>13</v>
      </c>
      <c r="D20" s="14" t="s">
        <v>346</v>
      </c>
      <c r="E20" s="14">
        <v>3</v>
      </c>
      <c r="F20" s="15" t="s">
        <v>228</v>
      </c>
      <c r="G20" s="13">
        <v>11</v>
      </c>
      <c r="H20" s="14" t="s">
        <v>346</v>
      </c>
      <c r="I20" s="14">
        <v>13</v>
      </c>
      <c r="J20" s="15" t="s">
        <v>64</v>
      </c>
      <c r="K20" s="13">
        <v>13</v>
      </c>
      <c r="L20" s="14" t="s">
        <v>346</v>
      </c>
      <c r="M20" s="14">
        <v>12</v>
      </c>
      <c r="N20" s="15" t="s">
        <v>205</v>
      </c>
      <c r="O20" s="13">
        <v>6</v>
      </c>
      <c r="P20" s="14" t="s">
        <v>346</v>
      </c>
      <c r="Q20" s="14">
        <v>13</v>
      </c>
      <c r="R20" s="15" t="s">
        <v>201</v>
      </c>
      <c r="S20" s="13">
        <v>9</v>
      </c>
      <c r="T20" s="14" t="s">
        <v>346</v>
      </c>
      <c r="U20" s="14">
        <v>13</v>
      </c>
      <c r="V20" s="15" t="s">
        <v>199</v>
      </c>
      <c r="W20" s="13"/>
      <c r="X20" s="14"/>
      <c r="Y20" s="14"/>
      <c r="Z20" s="15"/>
      <c r="AA20" s="118">
        <v>2</v>
      </c>
      <c r="AB20" s="29">
        <v>30</v>
      </c>
      <c r="AC20" s="29"/>
      <c r="AD20" s="13">
        <f t="shared" si="0"/>
        <v>52</v>
      </c>
      <c r="AE20" s="14" t="s">
        <v>346</v>
      </c>
      <c r="AF20" s="39">
        <f t="shared" si="1"/>
        <v>54</v>
      </c>
      <c r="AG20" s="40">
        <f t="shared" si="2"/>
        <v>-2</v>
      </c>
      <c r="AH20" s="41">
        <f t="shared" si="3"/>
        <v>20</v>
      </c>
      <c r="AI20" s="61" t="str">
        <f t="shared" si="4"/>
        <v>Sirje Viljaste</v>
      </c>
      <c r="AJ20" s="42">
        <f>IFERROR(INDEX(V!$R:$R,MATCH(AI20,V!$L:$L,0)),"")</f>
        <v>20</v>
      </c>
    </row>
    <row r="21" spans="1:36">
      <c r="A21" s="11">
        <v>15</v>
      </c>
      <c r="B21" s="17" t="s">
        <v>202</v>
      </c>
      <c r="C21" s="13">
        <v>3</v>
      </c>
      <c r="D21" s="14" t="s">
        <v>346</v>
      </c>
      <c r="E21" s="14">
        <v>13</v>
      </c>
      <c r="F21" s="15" t="s">
        <v>64</v>
      </c>
      <c r="G21" s="13">
        <v>13</v>
      </c>
      <c r="H21" s="14" t="s">
        <v>346</v>
      </c>
      <c r="I21" s="14">
        <v>10</v>
      </c>
      <c r="J21" s="15" t="s">
        <v>228</v>
      </c>
      <c r="K21" s="13">
        <v>9</v>
      </c>
      <c r="L21" s="14" t="s">
        <v>346</v>
      </c>
      <c r="M21" s="14">
        <v>13</v>
      </c>
      <c r="N21" s="15" t="s">
        <v>248</v>
      </c>
      <c r="O21" s="13">
        <v>4</v>
      </c>
      <c r="P21" s="14" t="s">
        <v>346</v>
      </c>
      <c r="Q21" s="14">
        <v>13</v>
      </c>
      <c r="R21" s="15" t="s">
        <v>199</v>
      </c>
      <c r="S21" s="13">
        <v>13</v>
      </c>
      <c r="T21" s="14" t="s">
        <v>346</v>
      </c>
      <c r="U21" s="14">
        <v>3</v>
      </c>
      <c r="V21" s="15" t="s">
        <v>209</v>
      </c>
      <c r="W21" s="13"/>
      <c r="X21" s="14"/>
      <c r="Y21" s="14"/>
      <c r="Z21" s="15"/>
      <c r="AA21" s="118">
        <v>2</v>
      </c>
      <c r="AB21" s="29">
        <v>26</v>
      </c>
      <c r="AC21" s="29"/>
      <c r="AD21" s="13">
        <f t="shared" si="0"/>
        <v>42</v>
      </c>
      <c r="AE21" s="14" t="s">
        <v>346</v>
      </c>
      <c r="AF21" s="39">
        <f t="shared" si="1"/>
        <v>52</v>
      </c>
      <c r="AG21" s="40">
        <f t="shared" si="2"/>
        <v>-10</v>
      </c>
      <c r="AH21" s="41">
        <f t="shared" si="3"/>
        <v>146</v>
      </c>
      <c r="AI21" s="61" t="str">
        <f t="shared" si="4"/>
        <v>Kristel Tihhonjuk</v>
      </c>
      <c r="AJ21" s="42">
        <f>IFERROR(INDEX(V!$R:$R,MATCH(AI21,V!$L:$L,0)),"")</f>
        <v>146</v>
      </c>
    </row>
    <row r="22" spans="1:36">
      <c r="A22" s="11">
        <v>16</v>
      </c>
      <c r="B22" s="18" t="s">
        <v>377</v>
      </c>
      <c r="C22" s="13">
        <v>10</v>
      </c>
      <c r="D22" s="14" t="s">
        <v>346</v>
      </c>
      <c r="E22" s="14">
        <v>13</v>
      </c>
      <c r="F22" s="15" t="s">
        <v>204</v>
      </c>
      <c r="G22" s="13">
        <v>13</v>
      </c>
      <c r="H22" s="14" t="s">
        <v>346</v>
      </c>
      <c r="I22" s="14">
        <v>4</v>
      </c>
      <c r="J22" s="15" t="s">
        <v>230</v>
      </c>
      <c r="K22" s="13">
        <v>11</v>
      </c>
      <c r="L22" s="14" t="s">
        <v>346</v>
      </c>
      <c r="M22" s="14">
        <v>13</v>
      </c>
      <c r="N22" s="15" t="s">
        <v>223</v>
      </c>
      <c r="O22" s="13">
        <v>11</v>
      </c>
      <c r="P22" s="14" t="s">
        <v>346</v>
      </c>
      <c r="Q22" s="14">
        <v>13</v>
      </c>
      <c r="R22" s="15" t="s">
        <v>205</v>
      </c>
      <c r="S22" s="13">
        <v>13</v>
      </c>
      <c r="T22" s="14" t="s">
        <v>346</v>
      </c>
      <c r="U22" s="14">
        <v>6</v>
      </c>
      <c r="V22" s="15" t="s">
        <v>238</v>
      </c>
      <c r="W22" s="13"/>
      <c r="X22" s="14"/>
      <c r="Y22" s="14"/>
      <c r="Z22" s="15"/>
      <c r="AA22" s="118">
        <v>2</v>
      </c>
      <c r="AB22" s="29">
        <v>24</v>
      </c>
      <c r="AC22" s="29"/>
      <c r="AD22" s="13">
        <f t="shared" si="0"/>
        <v>58</v>
      </c>
      <c r="AE22" s="14" t="s">
        <v>346</v>
      </c>
      <c r="AF22" s="39">
        <f t="shared" si="1"/>
        <v>49</v>
      </c>
      <c r="AG22" s="40">
        <f t="shared" si="2"/>
        <v>9</v>
      </c>
      <c r="AH22" s="41">
        <f t="shared" si="3"/>
        <v>0</v>
      </c>
      <c r="AI22" s="61" t="str">
        <f t="shared" si="4"/>
        <v>Enno Konsa</v>
      </c>
      <c r="AJ22" s="42" t="str">
        <f>IFERROR(INDEX(V!$R:$R,MATCH(AI22,V!$L:$L,0)),"")</f>
        <v/>
      </c>
    </row>
    <row r="23" spans="1:36">
      <c r="A23" s="11">
        <v>17</v>
      </c>
      <c r="B23" s="17" t="s">
        <v>230</v>
      </c>
      <c r="C23" s="13">
        <v>10</v>
      </c>
      <c r="D23" s="14" t="s">
        <v>346</v>
      </c>
      <c r="E23" s="14">
        <v>13</v>
      </c>
      <c r="F23" s="15" t="s">
        <v>296</v>
      </c>
      <c r="G23" s="13">
        <v>4</v>
      </c>
      <c r="H23" s="14" t="s">
        <v>346</v>
      </c>
      <c r="I23" s="14">
        <v>13</v>
      </c>
      <c r="J23" s="15" t="s">
        <v>377</v>
      </c>
      <c r="K23" s="13">
        <v>13</v>
      </c>
      <c r="L23" s="14" t="s">
        <v>346</v>
      </c>
      <c r="M23" s="14">
        <v>11</v>
      </c>
      <c r="N23" s="15" t="s">
        <v>213</v>
      </c>
      <c r="O23" s="13">
        <v>13</v>
      </c>
      <c r="P23" s="14" t="s">
        <v>346</v>
      </c>
      <c r="Q23" s="14">
        <v>3</v>
      </c>
      <c r="R23" s="15" t="s">
        <v>228</v>
      </c>
      <c r="S23" s="13">
        <v>12</v>
      </c>
      <c r="T23" s="14" t="s">
        <v>346</v>
      </c>
      <c r="U23" s="14">
        <v>13</v>
      </c>
      <c r="V23" s="15" t="s">
        <v>197</v>
      </c>
      <c r="W23" s="13"/>
      <c r="X23" s="14"/>
      <c r="Y23" s="14"/>
      <c r="Z23" s="15"/>
      <c r="AA23" s="118">
        <v>2</v>
      </c>
      <c r="AB23" s="29">
        <v>24</v>
      </c>
      <c r="AC23" s="29"/>
      <c r="AD23" s="13">
        <f t="shared" si="0"/>
        <v>52</v>
      </c>
      <c r="AE23" s="14" t="s">
        <v>346</v>
      </c>
      <c r="AF23" s="39">
        <f t="shared" si="1"/>
        <v>53</v>
      </c>
      <c r="AG23" s="40">
        <f t="shared" si="2"/>
        <v>-1</v>
      </c>
      <c r="AH23" s="41">
        <f t="shared" si="3"/>
        <v>34</v>
      </c>
      <c r="AI23" s="61" t="str">
        <f t="shared" si="4"/>
        <v>Boriss Klubov</v>
      </c>
      <c r="AJ23" s="42">
        <f>IFERROR(INDEX(V!$R:$R,MATCH(AI23,V!$L:$L,0)),"")</f>
        <v>34</v>
      </c>
    </row>
    <row r="24" spans="1:36">
      <c r="A24" s="11">
        <v>18</v>
      </c>
      <c r="B24" s="18" t="s">
        <v>223</v>
      </c>
      <c r="C24" s="13">
        <v>13</v>
      </c>
      <c r="D24" s="14" t="s">
        <v>346</v>
      </c>
      <c r="E24" s="14">
        <v>6</v>
      </c>
      <c r="F24" s="15" t="s">
        <v>238</v>
      </c>
      <c r="G24" s="13">
        <v>10</v>
      </c>
      <c r="H24" s="14" t="s">
        <v>346</v>
      </c>
      <c r="I24" s="14">
        <v>13</v>
      </c>
      <c r="J24" s="15" t="s">
        <v>192</v>
      </c>
      <c r="K24" s="13">
        <v>13</v>
      </c>
      <c r="L24" s="14" t="s">
        <v>346</v>
      </c>
      <c r="M24" s="14">
        <v>11</v>
      </c>
      <c r="N24" s="15" t="s">
        <v>377</v>
      </c>
      <c r="O24" s="13">
        <v>5</v>
      </c>
      <c r="P24" s="14" t="s">
        <v>346</v>
      </c>
      <c r="Q24" s="14">
        <v>13</v>
      </c>
      <c r="R24" s="15" t="s">
        <v>219</v>
      </c>
      <c r="S24" s="13">
        <v>6</v>
      </c>
      <c r="T24" s="14" t="s">
        <v>346</v>
      </c>
      <c r="U24" s="14">
        <v>13</v>
      </c>
      <c r="V24" s="15" t="s">
        <v>233</v>
      </c>
      <c r="W24" s="13"/>
      <c r="X24" s="14"/>
      <c r="Y24" s="14"/>
      <c r="Z24" s="15"/>
      <c r="AA24" s="118">
        <v>2</v>
      </c>
      <c r="AB24" s="29">
        <v>24</v>
      </c>
      <c r="AC24" s="29"/>
      <c r="AD24" s="13">
        <f t="shared" si="0"/>
        <v>47</v>
      </c>
      <c r="AE24" s="14" t="s">
        <v>346</v>
      </c>
      <c r="AF24" s="39">
        <f t="shared" si="1"/>
        <v>56</v>
      </c>
      <c r="AG24" s="40">
        <f t="shared" si="2"/>
        <v>-9</v>
      </c>
      <c r="AH24" s="41">
        <f t="shared" si="3"/>
        <v>60</v>
      </c>
      <c r="AI24" s="61" t="str">
        <f t="shared" si="4"/>
        <v>Kaspar Mänd</v>
      </c>
      <c r="AJ24" s="42">
        <f>IFERROR(INDEX(V!$R:$R,MATCH(AI24,V!$L:$L,0)),"")</f>
        <v>60</v>
      </c>
    </row>
    <row r="25" spans="1:36">
      <c r="A25" s="11">
        <v>19</v>
      </c>
      <c r="B25" s="17" t="s">
        <v>213</v>
      </c>
      <c r="C25" s="13">
        <v>8</v>
      </c>
      <c r="D25" s="14" t="s">
        <v>346</v>
      </c>
      <c r="E25" s="14">
        <v>13</v>
      </c>
      <c r="F25" s="15" t="s">
        <v>219</v>
      </c>
      <c r="G25" s="13">
        <v>8</v>
      </c>
      <c r="H25" s="14" t="s">
        <v>346</v>
      </c>
      <c r="I25" s="14">
        <v>13</v>
      </c>
      <c r="J25" s="15" t="s">
        <v>233</v>
      </c>
      <c r="K25" s="13">
        <v>11</v>
      </c>
      <c r="L25" s="14" t="s">
        <v>346</v>
      </c>
      <c r="M25" s="14">
        <v>13</v>
      </c>
      <c r="N25" s="15" t="s">
        <v>230</v>
      </c>
      <c r="O25" s="13">
        <v>13</v>
      </c>
      <c r="P25" s="14" t="s">
        <v>346</v>
      </c>
      <c r="Q25" s="14">
        <v>7</v>
      </c>
      <c r="R25" s="15" t="s">
        <v>232</v>
      </c>
      <c r="S25" s="13">
        <v>13</v>
      </c>
      <c r="T25" s="14" t="s">
        <v>346</v>
      </c>
      <c r="U25" s="14">
        <v>8</v>
      </c>
      <c r="V25" s="15" t="s">
        <v>235</v>
      </c>
      <c r="W25" s="13"/>
      <c r="X25" s="14"/>
      <c r="Y25" s="14"/>
      <c r="Z25" s="15"/>
      <c r="AA25" s="118">
        <v>1</v>
      </c>
      <c r="AB25" s="29">
        <v>18</v>
      </c>
      <c r="AC25" s="29"/>
      <c r="AD25" s="13">
        <f t="shared" si="0"/>
        <v>53</v>
      </c>
      <c r="AE25" s="14" t="s">
        <v>346</v>
      </c>
      <c r="AF25" s="39">
        <f t="shared" si="1"/>
        <v>54</v>
      </c>
      <c r="AG25" s="40">
        <f t="shared" si="2"/>
        <v>-1</v>
      </c>
      <c r="AH25" s="41">
        <f t="shared" si="3"/>
        <v>88</v>
      </c>
      <c r="AI25" s="61" t="str">
        <f t="shared" si="4"/>
        <v>Enn Tokman</v>
      </c>
      <c r="AJ25" s="42">
        <f>IFERROR(INDEX(V!$R:$R,MATCH(AI25,V!$L:$L,0)),"")</f>
        <v>88</v>
      </c>
    </row>
    <row r="26" spans="1:36">
      <c r="A26" s="11">
        <v>20</v>
      </c>
      <c r="B26" s="18" t="s">
        <v>238</v>
      </c>
      <c r="C26" s="13">
        <v>6</v>
      </c>
      <c r="D26" s="14" t="s">
        <v>346</v>
      </c>
      <c r="E26" s="14">
        <v>13</v>
      </c>
      <c r="F26" s="15" t="s">
        <v>223</v>
      </c>
      <c r="G26" s="13">
        <v>6</v>
      </c>
      <c r="H26" s="14" t="s">
        <v>346</v>
      </c>
      <c r="I26" s="14">
        <v>13</v>
      </c>
      <c r="J26" s="15" t="s">
        <v>197</v>
      </c>
      <c r="K26" s="13">
        <v>13</v>
      </c>
      <c r="L26" s="14" t="s">
        <v>346</v>
      </c>
      <c r="M26" s="14">
        <v>5</v>
      </c>
      <c r="N26" s="15" t="s">
        <v>228</v>
      </c>
      <c r="O26" s="13">
        <v>13</v>
      </c>
      <c r="P26" s="14" t="s">
        <v>346</v>
      </c>
      <c r="Q26" s="14">
        <v>11</v>
      </c>
      <c r="R26" s="15" t="s">
        <v>235</v>
      </c>
      <c r="S26" s="13">
        <v>6</v>
      </c>
      <c r="T26" s="14" t="s">
        <v>346</v>
      </c>
      <c r="U26" s="14">
        <v>13</v>
      </c>
      <c r="V26" s="15" t="s">
        <v>377</v>
      </c>
      <c r="W26" s="13"/>
      <c r="X26" s="14"/>
      <c r="Y26" s="14"/>
      <c r="Z26" s="15"/>
      <c r="AA26" s="118">
        <v>1</v>
      </c>
      <c r="AB26" s="29">
        <v>18</v>
      </c>
      <c r="AC26" s="29"/>
      <c r="AD26" s="13">
        <f t="shared" si="0"/>
        <v>44</v>
      </c>
      <c r="AE26" s="14" t="s">
        <v>346</v>
      </c>
      <c r="AF26" s="39">
        <f t="shared" si="1"/>
        <v>55</v>
      </c>
      <c r="AG26" s="40">
        <f t="shared" si="2"/>
        <v>-11</v>
      </c>
      <c r="AH26" s="41">
        <f t="shared" si="3"/>
        <v>18</v>
      </c>
      <c r="AI26" s="61" t="str">
        <f t="shared" si="4"/>
        <v>Taimo Lepp</v>
      </c>
      <c r="AJ26" s="42">
        <f>IFERROR(INDEX(V!$R:$R,MATCH(AI26,V!$L:$L,0)),"")</f>
        <v>18</v>
      </c>
    </row>
    <row r="27" spans="1:36">
      <c r="A27" s="11">
        <v>21</v>
      </c>
      <c r="B27" s="17" t="s">
        <v>209</v>
      </c>
      <c r="C27" s="13">
        <v>11</v>
      </c>
      <c r="D27" s="14" t="s">
        <v>346</v>
      </c>
      <c r="E27" s="14">
        <v>13</v>
      </c>
      <c r="F27" s="15" t="s">
        <v>207</v>
      </c>
      <c r="G27" s="13">
        <v>13</v>
      </c>
      <c r="H27" s="14" t="s">
        <v>346</v>
      </c>
      <c r="I27" s="14">
        <v>8</v>
      </c>
      <c r="J27" s="15" t="s">
        <v>232</v>
      </c>
      <c r="K27" s="13">
        <v>10</v>
      </c>
      <c r="L27" s="14" t="s">
        <v>346</v>
      </c>
      <c r="M27" s="14">
        <v>13</v>
      </c>
      <c r="N27" s="15" t="s">
        <v>219</v>
      </c>
      <c r="O27" s="13">
        <v>5</v>
      </c>
      <c r="P27" s="14" t="s">
        <v>346</v>
      </c>
      <c r="Q27" s="14">
        <v>13</v>
      </c>
      <c r="R27" s="15" t="s">
        <v>197</v>
      </c>
      <c r="S27" s="13">
        <v>3</v>
      </c>
      <c r="T27" s="14" t="s">
        <v>346</v>
      </c>
      <c r="U27" s="14">
        <v>13</v>
      </c>
      <c r="V27" s="15" t="s">
        <v>202</v>
      </c>
      <c r="W27" s="13"/>
      <c r="X27" s="14"/>
      <c r="Y27" s="14"/>
      <c r="Z27" s="15"/>
      <c r="AA27" s="118">
        <v>1</v>
      </c>
      <c r="AB27" s="29">
        <v>26</v>
      </c>
      <c r="AC27" s="29"/>
      <c r="AD27" s="13">
        <f t="shared" si="0"/>
        <v>42</v>
      </c>
      <c r="AE27" s="14" t="s">
        <v>346</v>
      </c>
      <c r="AF27" s="39">
        <f t="shared" si="1"/>
        <v>60</v>
      </c>
      <c r="AG27" s="40">
        <f t="shared" si="2"/>
        <v>-18</v>
      </c>
      <c r="AH27" s="41">
        <f t="shared" si="3"/>
        <v>98</v>
      </c>
      <c r="AI27" s="61" t="str">
        <f t="shared" si="4"/>
        <v>Sirje Maala</v>
      </c>
      <c r="AJ27" s="42">
        <f>IFERROR(INDEX(V!$R:$R,MATCH(AI27,V!$L:$L,0)),"")</f>
        <v>98</v>
      </c>
    </row>
    <row r="28" spans="1:36">
      <c r="A28" s="11">
        <v>22</v>
      </c>
      <c r="B28" s="18" t="s">
        <v>235</v>
      </c>
      <c r="C28" s="13">
        <v>4</v>
      </c>
      <c r="D28" s="14" t="s">
        <v>346</v>
      </c>
      <c r="E28" s="14">
        <v>13</v>
      </c>
      <c r="F28" s="15" t="s">
        <v>201</v>
      </c>
      <c r="G28" s="13">
        <v>9</v>
      </c>
      <c r="H28" s="14" t="s">
        <v>346</v>
      </c>
      <c r="I28" s="14">
        <v>13</v>
      </c>
      <c r="J28" s="15" t="s">
        <v>248</v>
      </c>
      <c r="K28" s="13">
        <v>13</v>
      </c>
      <c r="L28" s="14" t="s">
        <v>346</v>
      </c>
      <c r="M28" s="14">
        <v>3</v>
      </c>
      <c r="N28" s="15" t="s">
        <v>232</v>
      </c>
      <c r="O28" s="13">
        <v>11</v>
      </c>
      <c r="P28" s="14" t="s">
        <v>346</v>
      </c>
      <c r="Q28" s="14">
        <v>13</v>
      </c>
      <c r="R28" s="15" t="s">
        <v>238</v>
      </c>
      <c r="S28" s="13">
        <v>8</v>
      </c>
      <c r="T28" s="14" t="s">
        <v>346</v>
      </c>
      <c r="U28" s="14">
        <v>13</v>
      </c>
      <c r="V28" s="15" t="s">
        <v>213</v>
      </c>
      <c r="W28" s="13"/>
      <c r="X28" s="14"/>
      <c r="Y28" s="14"/>
      <c r="Z28" s="15"/>
      <c r="AA28" s="118">
        <v>1</v>
      </c>
      <c r="AB28" s="29">
        <v>24</v>
      </c>
      <c r="AC28" s="29"/>
      <c r="AD28" s="13">
        <f t="shared" si="0"/>
        <v>45</v>
      </c>
      <c r="AE28" s="14" t="s">
        <v>346</v>
      </c>
      <c r="AF28" s="39">
        <f t="shared" si="1"/>
        <v>55</v>
      </c>
      <c r="AG28" s="40">
        <f t="shared" si="2"/>
        <v>-10</v>
      </c>
      <c r="AH28" s="41">
        <f t="shared" si="3"/>
        <v>26</v>
      </c>
      <c r="AI28" s="61" t="str">
        <f t="shared" si="4"/>
        <v>Vello Vasser</v>
      </c>
      <c r="AJ28" s="42">
        <f>IFERROR(INDEX(V!$R:$R,MATCH(AI28,V!$L:$L,0)),"")</f>
        <v>26</v>
      </c>
    </row>
    <row r="29" spans="1:36">
      <c r="A29" s="11">
        <v>23</v>
      </c>
      <c r="B29" s="17" t="s">
        <v>228</v>
      </c>
      <c r="C29" s="13">
        <v>3</v>
      </c>
      <c r="D29" s="14" t="s">
        <v>346</v>
      </c>
      <c r="E29" s="14">
        <v>13</v>
      </c>
      <c r="F29" s="15" t="s">
        <v>236</v>
      </c>
      <c r="G29" s="13">
        <v>10</v>
      </c>
      <c r="H29" s="14" t="s">
        <v>346</v>
      </c>
      <c r="I29" s="14">
        <v>13</v>
      </c>
      <c r="J29" s="15" t="s">
        <v>202</v>
      </c>
      <c r="K29" s="13">
        <v>5</v>
      </c>
      <c r="L29" s="14" t="s">
        <v>346</v>
      </c>
      <c r="M29" s="14">
        <v>13</v>
      </c>
      <c r="N29" s="15" t="s">
        <v>238</v>
      </c>
      <c r="O29" s="13">
        <v>3</v>
      </c>
      <c r="P29" s="14" t="s">
        <v>346</v>
      </c>
      <c r="Q29" s="14">
        <v>13</v>
      </c>
      <c r="R29" s="15" t="s">
        <v>230</v>
      </c>
      <c r="S29" s="13">
        <v>13</v>
      </c>
      <c r="T29" s="14" t="s">
        <v>346</v>
      </c>
      <c r="U29" s="14">
        <v>9</v>
      </c>
      <c r="V29" s="15" t="s">
        <v>232</v>
      </c>
      <c r="W29" s="13"/>
      <c r="X29" s="14"/>
      <c r="Y29" s="14"/>
      <c r="Z29" s="15"/>
      <c r="AA29" s="118">
        <v>1</v>
      </c>
      <c r="AB29" s="29">
        <v>16</v>
      </c>
      <c r="AC29" s="29"/>
      <c r="AD29" s="13">
        <f>C29+G29+K29+O29+S29</f>
        <v>34</v>
      </c>
      <c r="AE29" s="14" t="s">
        <v>346</v>
      </c>
      <c r="AF29" s="39">
        <f>E29+I29+M29+Q29+U29</f>
        <v>61</v>
      </c>
      <c r="AG29" s="40">
        <f>AD29-AF29</f>
        <v>-27</v>
      </c>
      <c r="AH29" s="41">
        <f>SUM(AI215:AJ215)</f>
        <v>0</v>
      </c>
      <c r="AI29" s="61">
        <f>$B215</f>
        <v>0</v>
      </c>
      <c r="AJ29" s="42" t="str">
        <f>IFERROR(INDEX(V!$R:$R,MATCH(AI215,V!$L:$L,0)),"")</f>
        <v/>
      </c>
    </row>
    <row r="30" spans="1:36">
      <c r="A30" s="11">
        <v>24</v>
      </c>
      <c r="B30" s="18" t="s">
        <v>232</v>
      </c>
      <c r="C30" s="13">
        <v>12</v>
      </c>
      <c r="D30" s="14" t="s">
        <v>346</v>
      </c>
      <c r="E30" s="14">
        <v>13</v>
      </c>
      <c r="F30" s="15" t="s">
        <v>199</v>
      </c>
      <c r="G30" s="13">
        <v>8</v>
      </c>
      <c r="H30" s="14" t="s">
        <v>346</v>
      </c>
      <c r="I30" s="14">
        <v>13</v>
      </c>
      <c r="J30" s="15" t="s">
        <v>209</v>
      </c>
      <c r="K30" s="13">
        <v>3</v>
      </c>
      <c r="L30" s="14" t="s">
        <v>346</v>
      </c>
      <c r="M30" s="14">
        <v>13</v>
      </c>
      <c r="N30" s="15" t="s">
        <v>235</v>
      </c>
      <c r="O30" s="13">
        <v>7</v>
      </c>
      <c r="P30" s="14" t="s">
        <v>346</v>
      </c>
      <c r="Q30" s="14">
        <v>13</v>
      </c>
      <c r="R30" s="15" t="s">
        <v>213</v>
      </c>
      <c r="S30" s="13">
        <v>9</v>
      </c>
      <c r="T30" s="14" t="s">
        <v>346</v>
      </c>
      <c r="U30" s="14">
        <v>13</v>
      </c>
      <c r="V30" s="15" t="s">
        <v>228</v>
      </c>
      <c r="W30" s="13"/>
      <c r="X30" s="14"/>
      <c r="Y30" s="14"/>
      <c r="Z30" s="15"/>
      <c r="AA30" s="118">
        <v>1</v>
      </c>
      <c r="AB30" s="29">
        <v>16</v>
      </c>
      <c r="AC30" s="29"/>
      <c r="AD30" s="13">
        <f t="shared" si="0"/>
        <v>39</v>
      </c>
      <c r="AE30" s="14" t="s">
        <v>346</v>
      </c>
      <c r="AF30" s="39">
        <f t="shared" si="1"/>
        <v>65</v>
      </c>
      <c r="AG30" s="40">
        <f t="shared" si="2"/>
        <v>-26</v>
      </c>
      <c r="AH30" s="41">
        <f t="shared" si="3"/>
        <v>30</v>
      </c>
      <c r="AI30" s="61" t="str">
        <f t="shared" si="4"/>
        <v>Lemmit Toomra</v>
      </c>
      <c r="AJ30" s="42">
        <f>IFERROR(INDEX(V!$R:$R,MATCH(AI30,V!$L:$L,0)),"")</f>
        <v>30</v>
      </c>
    </row>
    <row r="33" hidden="1"/>
    <row r="34" hidden="1"/>
    <row r="35" hidden="1"/>
    <row r="36" hidden="1"/>
    <row r="37" hidden="1"/>
    <row r="38" hidden="1"/>
    <row r="39" hidden="1"/>
    <row r="40" hidden="1"/>
    <row r="41" hidden="1"/>
    <row r="42" hidden="1"/>
    <row r="43" hidden="1"/>
    <row r="44" hidden="1"/>
    <row r="45" hidden="1"/>
    <row r="46" hidden="1"/>
    <row r="47" hidden="1"/>
    <row r="48" hidden="1"/>
    <row r="49" hidden="1"/>
    <row r="50" hidden="1"/>
    <row r="51" hidden="1"/>
    <row r="52" hidden="1"/>
    <row r="53" hidden="1"/>
    <row r="54" hidden="1"/>
    <row r="55" hidden="1"/>
    <row r="56" hidden="1"/>
    <row r="57" hidden="1"/>
    <row r="58" hidden="1"/>
    <row r="59" hidden="1"/>
    <row r="60" hidden="1"/>
    <row r="61" hidden="1"/>
    <row r="62" hidden="1"/>
    <row r="63" hidden="1"/>
    <row r="64" hidden="1"/>
    <row r="65" hidden="1"/>
    <row r="66" hidden="1"/>
    <row r="67" hidden="1"/>
    <row r="68" hidden="1"/>
    <row r="69" hidden="1"/>
    <row r="70" hidden="1"/>
    <row r="71" hidden="1"/>
    <row r="72" hidden="1"/>
    <row r="73" hidden="1"/>
    <row r="74" hidden="1"/>
    <row r="75" hidden="1"/>
    <row r="76" hidden="1"/>
    <row r="77" hidden="1"/>
    <row r="78" hidden="1"/>
    <row r="79" hidden="1"/>
    <row r="80" hidden="1"/>
    <row r="81" hidden="1"/>
    <row r="82" hidden="1"/>
    <row r="83" hidden="1"/>
    <row r="84" hidden="1"/>
    <row r="85" hidden="1"/>
    <row r="86" hidden="1"/>
    <row r="87" hidden="1"/>
    <row r="88" hidden="1"/>
    <row r="89" hidden="1"/>
    <row r="90" hidden="1"/>
    <row r="91" hidden="1"/>
    <row r="92" hidden="1"/>
    <row r="93" hidden="1"/>
    <row r="94" hidden="1"/>
    <row r="95" hidden="1"/>
    <row r="96" hidden="1"/>
    <row r="97" hidden="1"/>
    <row r="98" hidden="1"/>
    <row r="99" hidden="1"/>
    <row r="100" hidden="1"/>
    <row r="101" hidden="1"/>
    <row r="102" hidden="1"/>
    <row r="103" hidden="1"/>
    <row r="104" hidden="1"/>
    <row r="105" hidden="1"/>
    <row r="106" hidden="1"/>
    <row r="107" hidden="1"/>
    <row r="108" hidden="1"/>
    <row r="109" hidden="1"/>
    <row r="110" hidden="1"/>
    <row r="111" hidden="1"/>
    <row r="112" hidden="1"/>
    <row r="113" hidden="1"/>
    <row r="114" hidden="1"/>
    <row r="115" hidden="1"/>
    <row r="116" hidden="1"/>
    <row r="117" hidden="1"/>
    <row r="118" hidden="1"/>
    <row r="119" hidden="1"/>
    <row r="120" hidden="1"/>
    <row r="121" hidden="1"/>
    <row r="122" hidden="1"/>
    <row r="123" hidden="1"/>
    <row r="124" hidden="1"/>
    <row r="125" hidden="1"/>
    <row r="126" hidden="1"/>
    <row r="127" hidden="1"/>
    <row r="128" hidden="1"/>
    <row r="129" hidden="1"/>
    <row r="130" hidden="1"/>
    <row r="131" hidden="1"/>
    <row r="132" hidden="1"/>
    <row r="133" hidden="1"/>
    <row r="134" hidden="1"/>
    <row r="135" hidden="1"/>
    <row r="136" hidden="1"/>
    <row r="137" hidden="1"/>
    <row r="138" hidden="1"/>
    <row r="139" hidden="1"/>
    <row r="140" hidden="1"/>
    <row r="141" hidden="1"/>
    <row r="142" hidden="1"/>
    <row r="143" hidden="1"/>
    <row r="144" hidden="1"/>
    <row r="145" hidden="1"/>
    <row r="146" hidden="1"/>
    <row r="147" hidden="1"/>
    <row r="148" hidden="1"/>
    <row r="149" hidden="1"/>
    <row r="150" hidden="1"/>
    <row r="151" hidden="1"/>
    <row r="152" hidden="1"/>
    <row r="153" hidden="1"/>
    <row r="154" hidden="1"/>
    <row r="155" hidden="1"/>
    <row r="156" hidden="1"/>
    <row r="157" hidden="1"/>
    <row r="158" hidden="1"/>
    <row r="159" hidden="1"/>
    <row r="160" hidden="1"/>
    <row r="161" hidden="1"/>
    <row r="162" hidden="1"/>
    <row r="163" hidden="1"/>
    <row r="164" hidden="1"/>
    <row r="165" hidden="1"/>
    <row r="166" hidden="1"/>
    <row r="167" hidden="1"/>
    <row r="168" hidden="1"/>
    <row r="169" hidden="1"/>
    <row r="170" hidden="1"/>
    <row r="171" hidden="1"/>
    <row r="172" hidden="1"/>
    <row r="173" hidden="1"/>
    <row r="174" hidden="1"/>
    <row r="175" hidden="1"/>
    <row r="176" hidden="1"/>
    <row r="177" hidden="1"/>
    <row r="178" hidden="1"/>
    <row r="179" hidden="1"/>
    <row r="180" hidden="1"/>
    <row r="181" hidden="1"/>
    <row r="182" hidden="1"/>
    <row r="183" hidden="1"/>
    <row r="184" hidden="1"/>
    <row r="185" hidden="1"/>
    <row r="186" hidden="1"/>
    <row r="187" hidden="1"/>
    <row r="188" hidden="1"/>
    <row r="189" hidden="1"/>
    <row r="190" hidden="1"/>
    <row r="191" hidden="1"/>
    <row r="192" hidden="1"/>
    <row r="193" hidden="1"/>
    <row r="194" hidden="1"/>
    <row r="195" hidden="1"/>
    <row r="196" hidden="1"/>
    <row r="197" hidden="1"/>
    <row r="198" hidden="1"/>
    <row r="199" hidden="1"/>
    <row r="200" hidden="1"/>
    <row r="201" hidden="1"/>
    <row r="202" hidden="1"/>
    <row r="203" hidden="1"/>
    <row r="204" hidden="1"/>
    <row r="205" hidden="1"/>
    <row r="206" hidden="1"/>
    <row r="207" hidden="1"/>
    <row r="208" hidden="1"/>
    <row r="209" hidden="1"/>
    <row r="210" hidden="1"/>
    <row r="211" hidden="1"/>
    <row r="212" hidden="1"/>
    <row r="213" hidden="1"/>
    <row r="214" hidden="1"/>
    <row r="215" hidden="1"/>
    <row r="216" hidden="1"/>
    <row r="217" hidden="1"/>
    <row r="218" hidden="1"/>
    <row r="219" hidden="1"/>
    <row r="220" hidden="1"/>
    <row r="221" hidden="1"/>
    <row r="222" hidden="1"/>
    <row r="223" hidden="1"/>
    <row r="224" hidden="1"/>
    <row r="225" hidden="1"/>
    <row r="226" hidden="1"/>
    <row r="227" hidden="1"/>
    <row r="228" hidden="1"/>
    <row r="229" hidden="1"/>
    <row r="230" hidden="1"/>
    <row r="231" hidden="1"/>
    <row r="232" hidden="1"/>
    <row r="233" hidden="1"/>
    <row r="234" hidden="1"/>
    <row r="235" hidden="1"/>
    <row r="236" hidden="1"/>
    <row r="237" hidden="1"/>
    <row r="238" hidden="1"/>
    <row r="239" hidden="1"/>
    <row r="240" hidden="1"/>
    <row r="241" hidden="1"/>
    <row r="242" hidden="1"/>
    <row r="243" hidden="1"/>
    <row r="244" hidden="1"/>
    <row r="245" hidden="1"/>
    <row r="246" hidden="1"/>
    <row r="247" hidden="1"/>
    <row r="248" hidden="1"/>
    <row r="249" hidden="1"/>
    <row r="250" hidden="1"/>
    <row r="251" hidden="1"/>
    <row r="252" hidden="1"/>
    <row r="253" hidden="1"/>
    <row r="254" hidden="1"/>
    <row r="255" hidden="1"/>
    <row r="256" hidden="1"/>
    <row r="257" hidden="1"/>
    <row r="258" hidden="1"/>
    <row r="259" hidden="1"/>
    <row r="260" hidden="1"/>
    <row r="261" hidden="1"/>
    <row r="262" hidden="1"/>
    <row r="263" hidden="1"/>
    <row r="264" hidden="1"/>
    <row r="265" hidden="1"/>
    <row r="266" hidden="1"/>
    <row r="267" hidden="1"/>
    <row r="268" hidden="1"/>
    <row r="269" hidden="1"/>
    <row r="270" hidden="1"/>
    <row r="271" hidden="1"/>
    <row r="272" hidden="1"/>
    <row r="273" hidden="1"/>
    <row r="274" hidden="1"/>
    <row r="275" hidden="1"/>
    <row r="276" hidden="1"/>
    <row r="277" hidden="1"/>
    <row r="278" hidden="1"/>
    <row r="279" hidden="1"/>
    <row r="280" hidden="1"/>
    <row r="281" hidden="1"/>
    <row r="282" hidden="1"/>
    <row r="283" hidden="1"/>
    <row r="284" hidden="1"/>
    <row r="285" hidden="1"/>
    <row r="286" hidden="1"/>
    <row r="287" hidden="1"/>
    <row r="288" hidden="1"/>
    <row r="289" hidden="1"/>
    <row r="290" hidden="1"/>
    <row r="291" hidden="1"/>
    <row r="292" hidden="1"/>
    <row r="293" hidden="1"/>
    <row r="294" hidden="1"/>
    <row r="295" hidden="1"/>
    <row r="296" hidden="1"/>
    <row r="297" hidden="1"/>
    <row r="298" hidden="1"/>
    <row r="299" hidden="1" spans="1:6">
      <c r="A299" s="6"/>
      <c r="B299" s="6"/>
      <c r="C299" s="49"/>
      <c r="F299" s="50"/>
    </row>
    <row r="300" spans="1:6">
      <c r="A300" s="51">
        <v>1</v>
      </c>
      <c r="B300" s="52" t="str">
        <f>IFERROR(INDEX(B$1:B$155,MATCH(A300,A$1:A$155,0)),"")</f>
        <v>Elmo Lageda</v>
      </c>
      <c r="C300" s="53"/>
      <c r="F300" s="50"/>
    </row>
    <row r="301" spans="1:6">
      <c r="A301" s="51">
        <v>2</v>
      </c>
      <c r="B301" s="52" t="str">
        <f t="shared" ref="B301:B323" si="5">IFERROR(INDEX(B$1:B$155,MATCH(A301,A$1:A$155,0)),"")</f>
        <v>Ivar Viljaste</v>
      </c>
      <c r="C301" s="53"/>
      <c r="F301" s="50"/>
    </row>
    <row r="302" spans="1:6">
      <c r="A302" s="51">
        <v>3</v>
      </c>
      <c r="B302" s="52" t="str">
        <f t="shared" si="5"/>
        <v>Sander Rose</v>
      </c>
      <c r="C302" s="53"/>
      <c r="F302" s="50"/>
    </row>
    <row r="303" spans="1:6">
      <c r="A303" s="51">
        <v>4</v>
      </c>
      <c r="B303" s="52" t="str">
        <f t="shared" si="5"/>
        <v>Oskar Sepp</v>
      </c>
      <c r="C303" s="53"/>
      <c r="F303" s="50"/>
    </row>
    <row r="304" spans="1:6">
      <c r="A304" s="51">
        <v>5</v>
      </c>
      <c r="B304" s="52" t="str">
        <f t="shared" si="5"/>
        <v>Aarne Välja</v>
      </c>
      <c r="C304" s="53"/>
      <c r="F304" s="50"/>
    </row>
    <row r="305" spans="1:6">
      <c r="A305" s="51">
        <v>6</v>
      </c>
      <c r="B305" s="52" t="str">
        <f t="shared" si="5"/>
        <v>Oleg Rõndenkov</v>
      </c>
      <c r="C305" s="53"/>
      <c r="F305" s="50"/>
    </row>
    <row r="306" spans="1:6">
      <c r="A306" s="51">
        <v>7</v>
      </c>
      <c r="B306" s="52" t="str">
        <f t="shared" si="5"/>
        <v>Jaan Sepp</v>
      </c>
      <c r="C306" s="53"/>
      <c r="F306" s="50"/>
    </row>
    <row r="307" spans="1:6">
      <c r="A307" s="51">
        <v>8</v>
      </c>
      <c r="B307" s="52" t="str">
        <f t="shared" si="5"/>
        <v>Meelis Luud</v>
      </c>
      <c r="C307" s="53"/>
      <c r="F307" s="50"/>
    </row>
    <row r="308" spans="1:6">
      <c r="A308" s="51">
        <v>9</v>
      </c>
      <c r="B308" s="52" t="str">
        <f t="shared" si="5"/>
        <v>Jaan Saar</v>
      </c>
      <c r="C308" s="53"/>
      <c r="F308" s="50"/>
    </row>
    <row r="309" spans="1:3">
      <c r="A309" s="51">
        <v>10</v>
      </c>
      <c r="B309" s="52" t="str">
        <f t="shared" si="5"/>
        <v>Hillar Neiland</v>
      </c>
      <c r="C309" s="53"/>
    </row>
    <row r="310" spans="1:3">
      <c r="A310" s="51">
        <v>11</v>
      </c>
      <c r="B310" s="52" t="str">
        <f t="shared" si="5"/>
        <v>Olav Türk</v>
      </c>
      <c r="C310" s="53"/>
    </row>
    <row r="311" spans="1:3">
      <c r="A311" s="51">
        <v>12</v>
      </c>
      <c r="B311" s="52" t="str">
        <f t="shared" si="5"/>
        <v>Andrei Grintšak</v>
      </c>
      <c r="C311" s="53"/>
    </row>
    <row r="312" spans="1:3">
      <c r="A312" s="51">
        <v>13</v>
      </c>
      <c r="B312" s="52" t="str">
        <f t="shared" si="5"/>
        <v>Vadim Tihhonjuk</v>
      </c>
      <c r="C312" s="53"/>
    </row>
    <row r="313" spans="1:3">
      <c r="A313" s="51">
        <v>14</v>
      </c>
      <c r="B313" s="52" t="str">
        <f t="shared" si="5"/>
        <v>Sirje Viljaste</v>
      </c>
      <c r="C313" s="53"/>
    </row>
    <row r="314" spans="1:3">
      <c r="A314" s="51">
        <v>15</v>
      </c>
      <c r="B314" s="52" t="str">
        <f t="shared" si="5"/>
        <v>Kristel Tihhonjuk</v>
      </c>
      <c r="C314" s="53"/>
    </row>
    <row r="315" spans="1:3">
      <c r="A315" s="51">
        <v>16</v>
      </c>
      <c r="B315" s="52" t="str">
        <f t="shared" si="5"/>
        <v>Enno Konsa</v>
      </c>
      <c r="C315" s="53"/>
    </row>
    <row r="316" spans="1:3">
      <c r="A316" s="51">
        <v>17</v>
      </c>
      <c r="B316" s="52" t="str">
        <f t="shared" si="5"/>
        <v>Boriss Klubov</v>
      </c>
      <c r="C316" s="53"/>
    </row>
    <row r="317" spans="1:3">
      <c r="A317" s="51">
        <v>18</v>
      </c>
      <c r="B317" s="52" t="str">
        <f t="shared" si="5"/>
        <v>Kaspar Mänd</v>
      </c>
      <c r="C317" s="53"/>
    </row>
    <row r="318" spans="1:3">
      <c r="A318" s="51">
        <v>19</v>
      </c>
      <c r="B318" s="52" t="str">
        <f t="shared" si="5"/>
        <v>Enn Tokman</v>
      </c>
      <c r="C318" s="53"/>
    </row>
    <row r="319" spans="1:3">
      <c r="A319" s="51">
        <v>20</v>
      </c>
      <c r="B319" s="52" t="str">
        <f t="shared" si="5"/>
        <v>Taimo Lepp</v>
      </c>
      <c r="C319" s="53"/>
    </row>
    <row r="320" spans="1:2">
      <c r="A320" s="51">
        <v>21</v>
      </c>
      <c r="B320" s="52" t="str">
        <f t="shared" si="5"/>
        <v>Sirje Maala</v>
      </c>
    </row>
    <row r="321" spans="1:2">
      <c r="A321" s="51">
        <v>22</v>
      </c>
      <c r="B321" s="52" t="str">
        <f t="shared" si="5"/>
        <v>Vello Vasser</v>
      </c>
    </row>
    <row r="322" spans="1:2">
      <c r="A322" s="51">
        <v>23</v>
      </c>
      <c r="B322" s="52" t="str">
        <f t="shared" si="5"/>
        <v>Liidia Põllu</v>
      </c>
    </row>
    <row r="323" spans="1:2">
      <c r="A323" s="51">
        <v>24</v>
      </c>
      <c r="B323" s="52" t="str">
        <f t="shared" si="5"/>
        <v>Lemmit Toomra</v>
      </c>
    </row>
  </sheetData>
  <conditionalFormatting sqref="A7:A30">
    <cfRule type="duplicateValues" dxfId="17" priority="42"/>
  </conditionalFormatting>
  <conditionalFormatting sqref="B300:B323">
    <cfRule type="duplicateValues" dxfId="8" priority="48"/>
    <cfRule type="containsBlanks" dxfId="19" priority="47">
      <formula>LEN(TRIM(B300))=0</formula>
    </cfRule>
    <cfRule type="expression" dxfId="18" priority="46">
      <formula>A300=1</formula>
    </cfRule>
    <cfRule type="expression" dxfId="4" priority="45">
      <formula>A300=2</formula>
    </cfRule>
    <cfRule type="expression" dxfId="3" priority="44">
      <formula>A300=3</formula>
    </cfRule>
  </conditionalFormatting>
  <conditionalFormatting sqref="C7:C30">
    <cfRule type="expression" dxfId="20" priority="24">
      <formula>IF($C7&gt;$E7,TRUE)</formula>
    </cfRule>
  </conditionalFormatting>
  <conditionalFormatting sqref="E7:E30">
    <cfRule type="expression" dxfId="20" priority="25">
      <formula>IF($C7&lt;$E7,TRUE)</formula>
    </cfRule>
  </conditionalFormatting>
  <conditionalFormatting sqref="F7:F30">
    <cfRule type="containsText" dxfId="21" priority="15" operator="between" text="vaba voor">
      <formula>NOT(ISERROR(SEARCH("vaba voor",F7)))</formula>
    </cfRule>
  </conditionalFormatting>
  <conditionalFormatting sqref="G7:G30">
    <cfRule type="expression" dxfId="20" priority="28">
      <formula>IF($G7&gt;$I7,TRUE)</formula>
    </cfRule>
  </conditionalFormatting>
  <conditionalFormatting sqref="I7:I30">
    <cfRule type="expression" dxfId="20" priority="29">
      <formula>IF($G7&lt;$I7,TRUE)</formula>
    </cfRule>
  </conditionalFormatting>
  <conditionalFormatting sqref="J7:J30">
    <cfRule type="containsText" dxfId="21" priority="14" operator="between" text="vaba voor">
      <formula>NOT(ISERROR(SEARCH("vaba voor",J7)))</formula>
    </cfRule>
  </conditionalFormatting>
  <conditionalFormatting sqref="K7:K30">
    <cfRule type="expression" dxfId="20" priority="32">
      <formula>IF($K7&gt;$M7,TRUE)</formula>
    </cfRule>
  </conditionalFormatting>
  <conditionalFormatting sqref="M7:M30">
    <cfRule type="expression" dxfId="20" priority="33">
      <formula>IF($K7&lt;$M7,TRUE)</formula>
    </cfRule>
  </conditionalFormatting>
  <conditionalFormatting sqref="N7:N30">
    <cfRule type="containsText" dxfId="21" priority="13" operator="between" text="vaba voor">
      <formula>NOT(ISERROR(SEARCH("vaba voor",N7)))</formula>
    </cfRule>
  </conditionalFormatting>
  <conditionalFormatting sqref="O7:O30">
    <cfRule type="expression" dxfId="20" priority="36">
      <formula>IF($O7&gt;$Q7,TRUE)</formula>
    </cfRule>
  </conditionalFormatting>
  <conditionalFormatting sqref="Q7:Q30">
    <cfRule type="expression" dxfId="20" priority="37">
      <formula>IF($O7&lt;$Q7,TRUE)</formula>
    </cfRule>
  </conditionalFormatting>
  <conditionalFormatting sqref="R7:R30">
    <cfRule type="containsText" dxfId="21" priority="16" operator="between" text="vaba voor">
      <formula>NOT(ISERROR(SEARCH("vaba voor",R7)))</formula>
    </cfRule>
  </conditionalFormatting>
  <conditionalFormatting sqref="S7:S30">
    <cfRule type="expression" dxfId="20" priority="40">
      <formula>IF($S7&gt;$U7,TRUE)</formula>
    </cfRule>
  </conditionalFormatting>
  <conditionalFormatting sqref="U7:U30">
    <cfRule type="expression" dxfId="20" priority="41">
      <formula>IF($S7&lt;$U7,TRUE)</formula>
    </cfRule>
  </conditionalFormatting>
  <conditionalFormatting sqref="V7:V30">
    <cfRule type="containsText" dxfId="21" priority="12" operator="between" text="vaba voor">
      <formula>NOT(ISERROR(SEARCH("vaba voor",V7)))</formula>
    </cfRule>
  </conditionalFormatting>
  <conditionalFormatting sqref="W7:W30">
    <cfRule type="expression" dxfId="20" priority="7">
      <formula>IF($S7&gt;$U7,TRUE)</formula>
    </cfRule>
    <cfRule type="expression" dxfId="24" priority="1">
      <formula>AND(W7=0,Y7=13)</formula>
    </cfRule>
  </conditionalFormatting>
  <conditionalFormatting sqref="Y7:Y30">
    <cfRule type="expression" dxfId="20" priority="8">
      <formula>IF($S7&lt;$U7,TRUE)</formula>
    </cfRule>
    <cfRule type="expression" dxfId="24" priority="2">
      <formula>AND(Y7=0,W7=13)</formula>
    </cfRule>
  </conditionalFormatting>
  <conditionalFormatting sqref="Z7:Z30">
    <cfRule type="containsText" dxfId="21" priority="3" operator="between" text="vaba voor">
      <formula>NOT(ISERROR(SEARCH("vaba voor",Z7)))</formula>
    </cfRule>
  </conditionalFormatting>
  <conditionalFormatting sqref="AI7:AI30">
    <cfRule type="expression" dxfId="22" priority="9">
      <formula>AND(AJ7="",COUNTIF(AI7,"*,*")=0)</formula>
    </cfRule>
  </conditionalFormatting>
  <conditionalFormatting sqref="AJ7:AJ30">
    <cfRule type="expression" dxfId="22" priority="43">
      <formula>AND(AI7="",COUNTIF(AJ7,"*,*")=0)</formula>
    </cfRule>
  </conditionalFormatting>
  <conditionalFormatting sqref="C7:F30">
    <cfRule type="expression" dxfId="23" priority="23">
      <formula>IF($C7&lt;$E7,TRUE)</formula>
    </cfRule>
    <cfRule type="expression" dxfId="7" priority="22">
      <formula>IF($C7&gt;$E7,TRUE)</formula>
    </cfRule>
    <cfRule type="expression" dxfId="5" priority="20">
      <formula>IF(AND(ISNUMBER($C7),$C7=$E7),TRUE)</formula>
    </cfRule>
  </conditionalFormatting>
  <conditionalFormatting sqref="C7:C30;G7:G30;K7:K30;O7:O30;S7:S30">
    <cfRule type="expression" dxfId="24" priority="10">
      <formula>AND(C7=0,E7=13)</formula>
    </cfRule>
  </conditionalFormatting>
  <conditionalFormatting sqref="E7:E30;I7:I30;M7:M30;Q7:Q30;U7:U30">
    <cfRule type="expression" dxfId="24" priority="11">
      <formula>AND(E7=0,C7=13)</formula>
    </cfRule>
  </conditionalFormatting>
  <conditionalFormatting sqref="G7:J30">
    <cfRule type="expression" dxfId="23" priority="27">
      <formula>IF($G7&lt;$I7,TRUE)</formula>
    </cfRule>
    <cfRule type="expression" dxfId="7" priority="26">
      <formula>IF($G7&gt;$I7,TRUE)</formula>
    </cfRule>
    <cfRule type="expression" dxfId="5" priority="21">
      <formula>IF(AND(ISNUMBER($G7),$G7=$I7),TRUE)</formula>
    </cfRule>
  </conditionalFormatting>
  <conditionalFormatting sqref="K7:N30">
    <cfRule type="expression" dxfId="23" priority="31">
      <formula>IF($K7&lt;$M7,TRUE)</formula>
    </cfRule>
    <cfRule type="expression" dxfId="7" priority="30">
      <formula>IF($K7&gt;$M7,TRUE)</formula>
    </cfRule>
    <cfRule type="expression" dxfId="5" priority="19">
      <formula>IF(AND(ISNUMBER($K7),$K7=$M7),TRUE)</formula>
    </cfRule>
  </conditionalFormatting>
  <conditionalFormatting sqref="O7:R30">
    <cfRule type="expression" dxfId="23" priority="35">
      <formula>IF($O7&lt;$Q7,TRUE)</formula>
    </cfRule>
    <cfRule type="expression" dxfId="7" priority="34">
      <formula>IF($O7&gt;$Q7,TRUE)</formula>
    </cfRule>
    <cfRule type="expression" dxfId="5" priority="18">
      <formula>IF(AND(ISNUMBER($O7),$O7=$Q7),TRUE)</formula>
    </cfRule>
  </conditionalFormatting>
  <conditionalFormatting sqref="S7:V30">
    <cfRule type="expression" dxfId="23" priority="39">
      <formula>IF($S7&lt;$U7,TRUE)</formula>
    </cfRule>
    <cfRule type="expression" dxfId="7" priority="38">
      <formula>IF($S7&gt;$U7,TRUE)</formula>
    </cfRule>
    <cfRule type="expression" dxfId="5" priority="17">
      <formula>IF(AND(ISNUMBER($S7),$S7=$U7),TRUE)</formula>
    </cfRule>
  </conditionalFormatting>
  <conditionalFormatting sqref="W7:Z30">
    <cfRule type="expression" dxfId="23" priority="6">
      <formula>IF($S7&lt;$U7,TRUE)</formula>
    </cfRule>
    <cfRule type="expression" dxfId="7" priority="5">
      <formula>IF($S7&gt;$U7,TRUE)</formula>
    </cfRule>
    <cfRule type="expression" dxfId="5" priority="4">
      <formula>IF(AND(ISNUMBER($S7),$S7=$U7),TRUE)</formula>
    </cfRule>
  </conditionalFormatting>
  <pageMargins left="0.393700787401575" right="0.393700787401575" top="0.78740157480315" bottom="0.393700787401575" header="0.78740157480315" footer="0"/>
  <pageSetup paperSize="9" fitToHeight="0" orientation="landscape" verticalDpi="1200"/>
  <headerFooter>
    <oddHeader>&amp;R&amp;P. leht &amp;N&amp; -st</oddHeader>
  </headerFooter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CCECFF"/>
    <pageSetUpPr fitToPage="1"/>
  </sheetPr>
  <dimension ref="A1:AP306"/>
  <sheetViews>
    <sheetView showGridLines="0" showRowColHeaders="0" workbookViewId="0">
      <pane ySplit="1" topLeftCell="A2" activePane="bottomLeft" state="frozen"/>
      <selection/>
      <selection pane="bottomLeft" activeCell="A299" sqref="A299"/>
    </sheetView>
  </sheetViews>
  <sheetFormatPr defaultColWidth="9" defaultRowHeight="12.3"/>
  <cols>
    <col min="1" max="1" width="3.28828828828829" style="3" customWidth="1"/>
    <col min="2" max="2" width="43.2882882882883" style="3" customWidth="1"/>
    <col min="3" max="3" width="4.71171171171171" style="3" customWidth="1"/>
    <col min="4" max="4" width="1.14414414414414" style="3" customWidth="1"/>
    <col min="5" max="5" width="2.71171171171171" style="3" customWidth="1"/>
    <col min="6" max="6" width="9.14414414414414" style="3"/>
    <col min="7" max="7" width="2.71171171171171" style="3" customWidth="1"/>
    <col min="8" max="8" width="1.14414414414414" style="3" customWidth="1"/>
    <col min="9" max="9" width="2.71171171171171" style="3" customWidth="1"/>
    <col min="10" max="10" width="9.14414414414414" style="3"/>
    <col min="11" max="11" width="2.71171171171171" style="3" customWidth="1"/>
    <col min="12" max="12" width="1.14414414414414" style="3" customWidth="1"/>
    <col min="13" max="13" width="2.71171171171171" style="3" customWidth="1"/>
    <col min="14" max="14" width="9.14414414414414" style="3"/>
    <col min="15" max="15" width="2.71171171171171" style="3" customWidth="1"/>
    <col min="16" max="16" width="1.14414414414414" style="3" customWidth="1"/>
    <col min="17" max="17" width="2.71171171171171" style="3" customWidth="1"/>
    <col min="18" max="18" width="9.14414414414414" style="3"/>
    <col min="19" max="19" width="2.71171171171171" style="3" hidden="1" customWidth="1"/>
    <col min="20" max="20" width="1.14414414414414" style="3" hidden="1" customWidth="1"/>
    <col min="21" max="21" width="2.71171171171171" style="3" hidden="1" customWidth="1"/>
    <col min="22" max="22" width="9" style="3" hidden="1" customWidth="1"/>
    <col min="23" max="23" width="5.71171171171171" style="3" customWidth="1"/>
    <col min="24" max="24" width="5.56756756756757" style="3" customWidth="1"/>
    <col min="25" max="25" width="7.42342342342342" style="3" customWidth="1"/>
    <col min="26" max="26" width="2.71171171171171" style="3" customWidth="1"/>
    <col min="27" max="27" width="1.14414414414414" style="3" customWidth="1"/>
    <col min="28" max="28" width="2.71171171171171" style="3" customWidth="1"/>
    <col min="29" max="29" width="4.71171171171171" style="3" customWidth="1"/>
    <col min="30" max="31" width="9.14414414414414" style="3" hidden="1" customWidth="1"/>
    <col min="32" max="32" width="14" style="3" hidden="1" customWidth="1"/>
    <col min="33" max="33" width="9.14414414414414" style="3" hidden="1" customWidth="1"/>
    <col min="34" max="34" width="30.2882882882883" style="3" hidden="1" customWidth="1"/>
    <col min="35" max="35" width="9.14414414414414" style="3" hidden="1" customWidth="1"/>
    <col min="36" max="36" width="17.2882882882883" style="3" hidden="1" customWidth="1"/>
    <col min="37" max="37" width="9.14414414414414" style="3" hidden="1" customWidth="1"/>
    <col min="38" max="38" width="14.8558558558559" style="3" hidden="1" customWidth="1"/>
    <col min="39" max="39" width="9.14414414414414" style="3" hidden="1" customWidth="1"/>
    <col min="40" max="40" width="17.2882882882883" style="3" hidden="1" customWidth="1"/>
    <col min="41" max="41" width="9.14414414414414" style="3" hidden="1" customWidth="1"/>
    <col min="42" max="42" width="13.8558558558559" style="3" hidden="1" customWidth="1"/>
    <col min="43" max="16384" width="9.14414414414414" style="3"/>
  </cols>
  <sheetData>
    <row r="1" spans="1:42">
      <c r="A1" s="4" t="str">
        <f>UPPER((Kalend!E12)&amp;" - "&amp;(Kalend!C12))&amp;" - "&amp;LOWER(Kalend!D12)&amp;" - "&amp;(Kalend!A12)&amp;" kell "&amp;(Kalend!B12)&amp;" - "&amp;(Kalend!F12)</f>
        <v>TMV-T - TOILA VALLA LAHTISED MV - trio - P, 02.06.2024 kell 11:00 - Voka staadion</v>
      </c>
      <c r="O1" s="6"/>
      <c r="P1" s="6"/>
      <c r="Q1" s="20"/>
      <c r="R1" s="20"/>
      <c r="S1" s="20"/>
      <c r="T1" s="21"/>
      <c r="U1" s="21"/>
      <c r="V1" s="21"/>
      <c r="W1" s="6"/>
      <c r="X1" s="22"/>
      <c r="Y1" s="6"/>
      <c r="Z1" s="6"/>
      <c r="AD1" s="30" t="s">
        <v>149</v>
      </c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47"/>
      <c r="AP1" s="47"/>
    </row>
    <row r="2" hidden="1" spans="1:40">
      <c r="A2" s="5"/>
      <c r="F2" s="6"/>
      <c r="L2" s="19"/>
      <c r="M2" s="19"/>
      <c r="N2" s="19"/>
      <c r="O2" s="6"/>
      <c r="P2" s="6"/>
      <c r="Q2" s="6"/>
      <c r="R2" s="23" t="s">
        <v>322</v>
      </c>
      <c r="S2" s="6"/>
      <c r="T2" s="19"/>
      <c r="U2" s="19"/>
      <c r="V2" s="19"/>
      <c r="W2" s="24">
        <v>1</v>
      </c>
      <c r="X2" s="6" t="s">
        <v>323</v>
      </c>
      <c r="Y2" s="6"/>
      <c r="Z2" s="6"/>
      <c r="AA2" s="6"/>
      <c r="AB2" s="6"/>
      <c r="AE2" s="6"/>
      <c r="AG2" s="6"/>
      <c r="AH2" s="6"/>
      <c r="AI2" s="6"/>
      <c r="AJ2" s="6"/>
      <c r="AK2" s="6"/>
      <c r="AL2" s="6"/>
      <c r="AM2" s="6"/>
      <c r="AN2" s="6"/>
    </row>
    <row r="3" hidden="1" spans="1:42">
      <c r="A3" s="5"/>
      <c r="F3" s="6"/>
      <c r="L3" s="6"/>
      <c r="M3" s="6"/>
      <c r="N3" s="6"/>
      <c r="O3" s="6"/>
      <c r="P3" s="6"/>
      <c r="Q3" s="6"/>
      <c r="R3" s="25" t="s">
        <v>324</v>
      </c>
      <c r="S3" s="6"/>
      <c r="T3" s="6"/>
      <c r="U3" s="6"/>
      <c r="V3" s="6"/>
      <c r="W3" s="24">
        <v>0.5</v>
      </c>
      <c r="X3" s="6" t="s">
        <v>325</v>
      </c>
      <c r="Y3" s="6"/>
      <c r="Z3" s="6"/>
      <c r="AA3" s="6"/>
      <c r="AB3" s="6"/>
      <c r="AE3" s="19"/>
      <c r="AF3" s="19"/>
      <c r="AG3" s="19"/>
      <c r="AH3" s="44"/>
      <c r="AI3" s="19"/>
      <c r="AJ3" s="19"/>
      <c r="AK3" s="19"/>
      <c r="AL3" s="19"/>
      <c r="AM3" s="19"/>
      <c r="AN3" s="19"/>
      <c r="AO3" s="19"/>
      <c r="AP3" s="19"/>
    </row>
    <row r="4" hidden="1" spans="6:28">
      <c r="F4" s="6"/>
      <c r="L4" s="6"/>
      <c r="M4" s="6"/>
      <c r="N4" s="6"/>
      <c r="O4" s="6"/>
      <c r="P4" s="6"/>
      <c r="Q4" s="6"/>
      <c r="R4" s="26" t="s">
        <v>326</v>
      </c>
      <c r="S4" s="6"/>
      <c r="T4" s="6"/>
      <c r="U4" s="6"/>
      <c r="V4" s="6"/>
      <c r="W4" s="24">
        <v>0</v>
      </c>
      <c r="X4" s="6" t="s">
        <v>325</v>
      </c>
      <c r="Y4" s="6"/>
      <c r="Z4" s="6"/>
      <c r="AA4" s="6"/>
      <c r="AB4" s="6"/>
    </row>
    <row r="5" hidden="1" spans="6:30">
      <c r="F5" s="6"/>
      <c r="L5" s="6"/>
      <c r="M5" s="6"/>
      <c r="N5" s="6"/>
      <c r="O5" s="6"/>
      <c r="P5" s="6"/>
      <c r="Q5" s="6"/>
      <c r="R5" s="6"/>
      <c r="S5" s="6"/>
      <c r="T5" s="6"/>
      <c r="U5" s="6"/>
      <c r="W5" s="6"/>
      <c r="X5" s="6"/>
      <c r="Y5" s="6"/>
      <c r="Z5" s="6"/>
      <c r="AA5" s="6"/>
      <c r="AB5" s="32" t="s">
        <v>327</v>
      </c>
      <c r="AD5" s="33" t="s">
        <v>328</v>
      </c>
    </row>
    <row r="6" hidden="1" spans="1:42">
      <c r="A6" s="7" t="s">
        <v>329</v>
      </c>
      <c r="B6" s="7" t="s">
        <v>180</v>
      </c>
      <c r="C6" s="8" t="s">
        <v>330</v>
      </c>
      <c r="D6" s="9"/>
      <c r="E6" s="9"/>
      <c r="F6" s="10"/>
      <c r="G6" s="8" t="s">
        <v>331</v>
      </c>
      <c r="H6" s="9"/>
      <c r="I6" s="9"/>
      <c r="J6" s="10"/>
      <c r="K6" s="8" t="s">
        <v>332</v>
      </c>
      <c r="L6" s="9"/>
      <c r="M6" s="9"/>
      <c r="N6" s="10"/>
      <c r="O6" s="8" t="s">
        <v>333</v>
      </c>
      <c r="P6" s="9"/>
      <c r="Q6" s="9"/>
      <c r="R6" s="10"/>
      <c r="S6" s="8" t="s">
        <v>334</v>
      </c>
      <c r="T6" s="9"/>
      <c r="U6" s="9"/>
      <c r="V6" s="10"/>
      <c r="W6" s="7" t="s">
        <v>162</v>
      </c>
      <c r="X6" s="27" t="s">
        <v>335</v>
      </c>
      <c r="Y6" s="7" t="s">
        <v>336</v>
      </c>
      <c r="Z6" s="27"/>
      <c r="AA6" s="34" t="s">
        <v>337</v>
      </c>
      <c r="AB6" s="35"/>
      <c r="AC6" s="36" t="s">
        <v>338</v>
      </c>
      <c r="AD6" s="37" t="s">
        <v>168</v>
      </c>
      <c r="AE6" s="38"/>
      <c r="AF6" s="38" t="s">
        <v>339</v>
      </c>
      <c r="AG6" s="38"/>
      <c r="AH6" s="45" t="s">
        <v>340</v>
      </c>
      <c r="AI6" s="38"/>
      <c r="AJ6" s="38" t="s">
        <v>341</v>
      </c>
      <c r="AK6" s="46"/>
      <c r="AL6" s="38" t="s">
        <v>342</v>
      </c>
      <c r="AM6" s="46"/>
      <c r="AN6" s="46" t="s">
        <v>343</v>
      </c>
      <c r="AO6" s="48"/>
      <c r="AP6" s="46" t="s">
        <v>344</v>
      </c>
    </row>
    <row r="7" hidden="1" spans="1:42">
      <c r="A7" s="11">
        <v>1</v>
      </c>
      <c r="B7" s="12" t="s">
        <v>378</v>
      </c>
      <c r="C7" s="13"/>
      <c r="D7" s="14"/>
      <c r="E7" s="14"/>
      <c r="F7" s="15"/>
      <c r="G7" s="13"/>
      <c r="H7" s="14"/>
      <c r="I7" s="14"/>
      <c r="J7" s="15"/>
      <c r="K7" s="13"/>
      <c r="L7" s="14"/>
      <c r="M7" s="14"/>
      <c r="N7" s="15"/>
      <c r="O7" s="13"/>
      <c r="P7" s="14"/>
      <c r="Q7" s="14"/>
      <c r="R7" s="15"/>
      <c r="S7" s="13"/>
      <c r="T7" s="14"/>
      <c r="U7" s="14"/>
      <c r="V7" s="15"/>
      <c r="W7" s="28">
        <f t="shared" ref="W7:W13" si="0">IF(C7&gt;E7,W$2,IF(C7&lt;E7,W$4,IF(ISNUMBER(C7),W$3,0)))+IF(G7&gt;I7,W$2,IF(G7&lt;I7,W$4,IF(ISNUMBER(G7),W$3,0)))+IF(K7&gt;M7,W$2,IF(K7&lt;M7,W$4,IF(ISNUMBER(K7),W$3,0)))+IF(O7&gt;Q7,W$2,IF(O7&lt;Q7,W$4,IF(ISNUMBER(O7),W$3,0)))+IF(S7&gt;U7,W$2,IF(S7&lt;U7,W$4,IF(ISNUMBER(S7),W$3,0)))</f>
        <v>0</v>
      </c>
      <c r="X7" s="29"/>
      <c r="Y7" s="29"/>
      <c r="Z7" s="13">
        <f t="shared" ref="Z7:Z13" si="1">C7+G7+K7+O7+S7</f>
        <v>0</v>
      </c>
      <c r="AA7" s="14" t="s">
        <v>346</v>
      </c>
      <c r="AB7" s="39">
        <f t="shared" ref="AB7:AB13" si="2">E7+I7+M7+Q7+U7</f>
        <v>0</v>
      </c>
      <c r="AC7" s="40">
        <f t="shared" ref="AC7:AC13" si="3">Z7-AB7</f>
        <v>0</v>
      </c>
      <c r="AD7" s="41">
        <f t="shared" ref="AD7:AD10" si="4">SUM(AE7:AL7)</f>
        <v>440</v>
      </c>
      <c r="AE7" s="42">
        <f>IFERROR(INDEX(V!$R:$R,MATCH(AF7,V!$L:$L,0)),"")</f>
        <v>146</v>
      </c>
      <c r="AF7" s="43" t="str">
        <f t="shared" ref="AF7:AF13" si="5">IFERROR(LEFT($B7,(FIND(",",$B7,1)-1)),"")</f>
        <v>Meelis Luud</v>
      </c>
      <c r="AG7" s="42" t="str">
        <f>IFERROR(INDEX(V!$R:$R,MATCH(AH7,V!$L:$L,0)),"")</f>
        <v/>
      </c>
      <c r="AH7" s="43" t="str">
        <f t="shared" ref="AH7:AH13" si="6">IFERROR(MID($B7,FIND(", ",$B7)+2,256),"")</f>
        <v>Olav Türk, Sander Rose</v>
      </c>
      <c r="AI7" s="42">
        <f>IFERROR(INDEX(V!$R:$R,MATCH(AJ7,V!$L:$L,0)),"")</f>
        <v>148</v>
      </c>
      <c r="AJ7" s="43" t="str">
        <f t="shared" ref="AJ7:AJ13" si="7">IFERROR(MID($B7,FIND("^",SUBSTITUTE($B7,", ","^",1))+2,FIND("^",SUBSTITUTE($B7,", ","^",2))-FIND("^",SUBSTITUTE($B7,", ","^",1))-2),"")</f>
        <v>Olav Türk</v>
      </c>
      <c r="AK7" s="42">
        <f>IFERROR(INDEX(V!$R:$R,MATCH(AL7,V!$L:$L,0)),"")</f>
        <v>146</v>
      </c>
      <c r="AL7" s="43" t="str">
        <f t="shared" ref="AL7:AL13" si="8">IFERROR(MID($B7,FIND(", ",$B7,FIND(", ",$B7,FIND(", ",$B7))+1)+2,30000),"")</f>
        <v>Sander Rose</v>
      </c>
      <c r="AM7" s="42" t="str">
        <f>IFERROR(INDEX(V!$R:$R,MATCH(AN7,V!$L:$L,0)),"")</f>
        <v/>
      </c>
      <c r="AN7" s="43" t="str">
        <f t="shared" ref="AN7:AN13" si="9">IFERROR(MID($B7,FIND(", ",$B7,FIND(", ",$B7)+1)+2,FIND(", ",$B7,FIND(", ",$B7,FIND(", ",$B7)+1)+1)-FIND(", ",$B7,FIND(", ",$B7)+1)-2),"")</f>
        <v/>
      </c>
      <c r="AO7" s="42" t="str">
        <f>IFERROR(INDEX(V!$R:$R,MATCH(AP7,V!$L:$L,0)),"")</f>
        <v/>
      </c>
      <c r="AP7" s="43" t="str">
        <f t="shared" ref="AP7:AP13" si="10">IFERROR(MID($B7,FIND(", ",$B7,FIND(", ",$B7,FIND(", ",$B7)+1)+1)+2,30000),"")</f>
        <v/>
      </c>
    </row>
    <row r="8" hidden="1" spans="1:42">
      <c r="A8" s="11">
        <v>2</v>
      </c>
      <c r="B8" s="12" t="s">
        <v>379</v>
      </c>
      <c r="C8" s="13"/>
      <c r="D8" s="14"/>
      <c r="E8" s="14"/>
      <c r="F8" s="15"/>
      <c r="G8" s="13"/>
      <c r="H8" s="14"/>
      <c r="I8" s="14"/>
      <c r="J8" s="15"/>
      <c r="K8" s="13"/>
      <c r="L8" s="14"/>
      <c r="M8" s="14"/>
      <c r="N8" s="15"/>
      <c r="O8" s="13"/>
      <c r="P8" s="14"/>
      <c r="Q8" s="14"/>
      <c r="R8" s="15"/>
      <c r="S8" s="13"/>
      <c r="T8" s="14"/>
      <c r="U8" s="14"/>
      <c r="V8" s="15"/>
      <c r="W8" s="28">
        <f t="shared" si="0"/>
        <v>0</v>
      </c>
      <c r="X8" s="29"/>
      <c r="Y8" s="29"/>
      <c r="Z8" s="13">
        <f t="shared" si="1"/>
        <v>0</v>
      </c>
      <c r="AA8" s="14" t="s">
        <v>346</v>
      </c>
      <c r="AB8" s="39">
        <f t="shared" si="2"/>
        <v>0</v>
      </c>
      <c r="AC8" s="40">
        <f t="shared" si="3"/>
        <v>0</v>
      </c>
      <c r="AD8" s="41">
        <f t="shared" si="4"/>
        <v>112</v>
      </c>
      <c r="AE8" s="42">
        <f>IFERROR(INDEX(V!$R:$R,MATCH(AF8,V!$L:$L,0)),"")</f>
        <v>0</v>
      </c>
      <c r="AF8" s="43" t="str">
        <f t="shared" si="5"/>
        <v>Aarne Välja</v>
      </c>
      <c r="AG8" s="42" t="str">
        <f>IFERROR(INDEX(V!$R:$R,MATCH(AH8,V!$L:$L,0)),"")</f>
        <v/>
      </c>
      <c r="AH8" s="43" t="str">
        <f t="shared" si="6"/>
        <v>Jaan Sepp, Oskar Sepp</v>
      </c>
      <c r="AI8" s="42">
        <f>IFERROR(INDEX(V!$R:$R,MATCH(AJ8,V!$L:$L,0)),"")</f>
        <v>112</v>
      </c>
      <c r="AJ8" s="43" t="str">
        <f t="shared" si="7"/>
        <v>Jaan Sepp</v>
      </c>
      <c r="AK8" s="42">
        <f>IFERROR(INDEX(V!$R:$R,MATCH(AL8,V!$L:$L,0)),"")</f>
        <v>0</v>
      </c>
      <c r="AL8" s="43" t="str">
        <f t="shared" si="8"/>
        <v>Oskar Sepp</v>
      </c>
      <c r="AM8" s="42" t="str">
        <f>IFERROR(INDEX(V!$R:$R,MATCH(AN8,V!$L:$L,0)),"")</f>
        <v/>
      </c>
      <c r="AN8" s="43" t="str">
        <f t="shared" si="9"/>
        <v/>
      </c>
      <c r="AO8" s="42" t="str">
        <f>IFERROR(INDEX(V!$R:$R,MATCH(AP8,V!$L:$L,0)),"")</f>
        <v/>
      </c>
      <c r="AP8" s="43" t="str">
        <f t="shared" si="10"/>
        <v/>
      </c>
    </row>
    <row r="9" hidden="1" spans="1:42">
      <c r="A9" s="11">
        <v>3</v>
      </c>
      <c r="B9" s="17" t="s">
        <v>380</v>
      </c>
      <c r="C9" s="13"/>
      <c r="D9" s="14"/>
      <c r="E9" s="14"/>
      <c r="F9" s="15"/>
      <c r="G9" s="13"/>
      <c r="H9" s="14"/>
      <c r="I9" s="14"/>
      <c r="J9" s="15"/>
      <c r="K9" s="13"/>
      <c r="L9" s="14"/>
      <c r="M9" s="14"/>
      <c r="N9" s="15"/>
      <c r="O9" s="13"/>
      <c r="P9" s="14"/>
      <c r="Q9" s="14"/>
      <c r="R9" s="15"/>
      <c r="S9" s="13"/>
      <c r="T9" s="14"/>
      <c r="U9" s="14"/>
      <c r="V9" s="15"/>
      <c r="W9" s="28">
        <f t="shared" si="0"/>
        <v>0</v>
      </c>
      <c r="X9" s="29"/>
      <c r="Y9" s="29"/>
      <c r="Z9" s="13">
        <f t="shared" si="1"/>
        <v>0</v>
      </c>
      <c r="AA9" s="14" t="s">
        <v>346</v>
      </c>
      <c r="AB9" s="39">
        <f t="shared" si="2"/>
        <v>0</v>
      </c>
      <c r="AC9" s="40">
        <f t="shared" si="3"/>
        <v>0</v>
      </c>
      <c r="AD9" s="41">
        <f t="shared" si="4"/>
        <v>186</v>
      </c>
      <c r="AE9" s="42">
        <f>IFERROR(INDEX(V!$R:$R,MATCH(AF9,V!$L:$L,0)),"")</f>
        <v>104</v>
      </c>
      <c r="AF9" s="43" t="str">
        <f t="shared" si="5"/>
        <v>Andres Veski</v>
      </c>
      <c r="AG9" s="42" t="str">
        <f>IFERROR(INDEX(V!$R:$R,MATCH(AH9,V!$L:$L,0)),"")</f>
        <v/>
      </c>
      <c r="AH9" s="43" t="str">
        <f t="shared" si="6"/>
        <v> Johannes Neiland, Svetlana Veski</v>
      </c>
      <c r="AI9" s="42" t="str">
        <f>IFERROR(INDEX(V!$R:$R,MATCH(AJ9,V!$L:$L,0)),"")</f>
        <v/>
      </c>
      <c r="AJ9" s="43" t="str">
        <f t="shared" si="7"/>
        <v> Johannes Neiland</v>
      </c>
      <c r="AK9" s="42">
        <f>IFERROR(INDEX(V!$R:$R,MATCH(AL9,V!$L:$L,0)),"")</f>
        <v>82</v>
      </c>
      <c r="AL9" s="43" t="str">
        <f t="shared" si="8"/>
        <v>Svetlana Veski</v>
      </c>
      <c r="AM9" s="42" t="str">
        <f>IFERROR(INDEX(V!$R:$R,MATCH(AN9,V!$L:$L,0)),"")</f>
        <v/>
      </c>
      <c r="AN9" s="43" t="str">
        <f t="shared" si="9"/>
        <v/>
      </c>
      <c r="AO9" s="42" t="str">
        <f>IFERROR(INDEX(V!$R:$R,MATCH(AP9,V!$L:$L,0)),"")</f>
        <v/>
      </c>
      <c r="AP9" s="43" t="str">
        <f t="shared" si="10"/>
        <v/>
      </c>
    </row>
    <row r="10" hidden="1" spans="1:42">
      <c r="A10" s="11">
        <v>4</v>
      </c>
      <c r="B10" s="17" t="s">
        <v>381</v>
      </c>
      <c r="C10" s="13"/>
      <c r="D10" s="14"/>
      <c r="E10" s="14"/>
      <c r="F10" s="15"/>
      <c r="G10" s="13"/>
      <c r="H10" s="14"/>
      <c r="I10" s="14"/>
      <c r="J10" s="15"/>
      <c r="K10" s="13"/>
      <c r="L10" s="14"/>
      <c r="M10" s="14"/>
      <c r="N10" s="15"/>
      <c r="O10" s="13"/>
      <c r="P10" s="14"/>
      <c r="Q10" s="14"/>
      <c r="R10" s="15"/>
      <c r="S10" s="13"/>
      <c r="T10" s="14"/>
      <c r="U10" s="14"/>
      <c r="V10" s="15"/>
      <c r="W10" s="28">
        <f t="shared" si="0"/>
        <v>0</v>
      </c>
      <c r="X10" s="29"/>
      <c r="Y10" s="29"/>
      <c r="Z10" s="13">
        <f t="shared" si="1"/>
        <v>0</v>
      </c>
      <c r="AA10" s="14" t="s">
        <v>346</v>
      </c>
      <c r="AB10" s="39">
        <f t="shared" si="2"/>
        <v>0</v>
      </c>
      <c r="AC10" s="40">
        <f t="shared" si="3"/>
        <v>0</v>
      </c>
      <c r="AD10" s="41">
        <f t="shared" si="4"/>
        <v>418</v>
      </c>
      <c r="AE10" s="42">
        <f>IFERROR(INDEX(V!$R:$R,MATCH(AF10,V!$L:$L,0)),"")</f>
        <v>96</v>
      </c>
      <c r="AF10" s="43" t="str">
        <f t="shared" si="5"/>
        <v>Andrei Grintšak</v>
      </c>
      <c r="AG10" s="42" t="str">
        <f>IFERROR(INDEX(V!$R:$R,MATCH(AH10,V!$L:$L,0)),"")</f>
        <v/>
      </c>
      <c r="AH10" s="43" t="str">
        <f t="shared" si="6"/>
        <v>Kristel Tihhonjuk, Vadim Tihhonjuk</v>
      </c>
      <c r="AI10" s="42">
        <f>IFERROR(INDEX(V!$R:$R,MATCH(AJ10,V!$L:$L,0)),"")</f>
        <v>146</v>
      </c>
      <c r="AJ10" s="43" t="str">
        <f t="shared" si="7"/>
        <v>Kristel Tihhonjuk</v>
      </c>
      <c r="AK10" s="42">
        <f>IFERROR(INDEX(V!$R:$R,MATCH(AL10,V!$L:$L,0)),"")</f>
        <v>176</v>
      </c>
      <c r="AL10" s="43" t="str">
        <f t="shared" si="8"/>
        <v>Vadim Tihhonjuk</v>
      </c>
      <c r="AM10" s="42" t="str">
        <f>IFERROR(INDEX(V!$R:$R,MATCH(AN10,V!$L:$L,0)),"")</f>
        <v/>
      </c>
      <c r="AN10" s="43" t="str">
        <f t="shared" si="9"/>
        <v/>
      </c>
      <c r="AO10" s="42" t="str">
        <f>IFERROR(INDEX(V!$R:$R,MATCH(AP10,V!$L:$L,0)),"")</f>
        <v/>
      </c>
      <c r="AP10" s="43" t="str">
        <f t="shared" si="10"/>
        <v/>
      </c>
    </row>
    <row r="11" hidden="1" spans="1:42">
      <c r="A11" s="11">
        <v>5</v>
      </c>
      <c r="B11" s="16" t="s">
        <v>382</v>
      </c>
      <c r="C11" s="13"/>
      <c r="D11" s="14"/>
      <c r="E11" s="14"/>
      <c r="F11" s="15"/>
      <c r="G11" s="13"/>
      <c r="H11" s="14"/>
      <c r="I11" s="14"/>
      <c r="J11" s="15"/>
      <c r="K11" s="13"/>
      <c r="L11" s="14"/>
      <c r="M11" s="14"/>
      <c r="N11" s="15"/>
      <c r="O11" s="13"/>
      <c r="P11" s="14"/>
      <c r="Q11" s="14"/>
      <c r="R11" s="15"/>
      <c r="S11" s="13"/>
      <c r="T11" s="14"/>
      <c r="U11" s="14"/>
      <c r="V11" s="15"/>
      <c r="W11" s="28">
        <f t="shared" si="0"/>
        <v>0</v>
      </c>
      <c r="X11" s="29"/>
      <c r="Y11" s="29"/>
      <c r="Z11" s="13">
        <f t="shared" si="1"/>
        <v>0</v>
      </c>
      <c r="AA11" s="14" t="s">
        <v>346</v>
      </c>
      <c r="AB11" s="39">
        <f t="shared" si="2"/>
        <v>0</v>
      </c>
      <c r="AC11" s="40">
        <f t="shared" si="3"/>
        <v>0</v>
      </c>
      <c r="AD11" s="41">
        <f t="shared" ref="AD11:AD13" si="11">SUM(AE11:AL11)</f>
        <v>152</v>
      </c>
      <c r="AE11" s="42">
        <f>IFERROR(INDEX(V!$R:$R,MATCH(AF11,V!$L:$L,0)),"")</f>
        <v>34</v>
      </c>
      <c r="AF11" s="43" t="str">
        <f t="shared" si="5"/>
        <v>Boriss Klubov</v>
      </c>
      <c r="AG11" s="42" t="str">
        <f>IFERROR(INDEX(V!$R:$R,MATCH(AH11,V!$L:$L,0)),"")</f>
        <v/>
      </c>
      <c r="AH11" s="43" t="str">
        <f t="shared" si="6"/>
        <v>Elmo Lageda, Peep Peenema</v>
      </c>
      <c r="AI11" s="42">
        <f>IFERROR(INDEX(V!$R:$R,MATCH(AJ11,V!$L:$L,0)),"")</f>
        <v>102</v>
      </c>
      <c r="AJ11" s="43" t="str">
        <f t="shared" si="7"/>
        <v>Elmo Lageda</v>
      </c>
      <c r="AK11" s="42">
        <f>IFERROR(INDEX(V!$R:$R,MATCH(AL11,V!$L:$L,0)),"")</f>
        <v>16</v>
      </c>
      <c r="AL11" s="43" t="str">
        <f t="shared" si="8"/>
        <v>Peep Peenema</v>
      </c>
      <c r="AM11" s="42" t="str">
        <f>IFERROR(INDEX(V!$R:$R,MATCH(AN11,V!$L:$L,0)),"")</f>
        <v/>
      </c>
      <c r="AN11" s="43" t="str">
        <f t="shared" si="9"/>
        <v/>
      </c>
      <c r="AO11" s="42" t="str">
        <f>IFERROR(INDEX(V!$R:$R,MATCH(AP11,V!$L:$L,0)),"")</f>
        <v/>
      </c>
      <c r="AP11" s="43" t="str">
        <f t="shared" si="10"/>
        <v/>
      </c>
    </row>
    <row r="12" hidden="1" spans="1:42">
      <c r="A12" s="11">
        <v>6</v>
      </c>
      <c r="B12" s="17" t="s">
        <v>383</v>
      </c>
      <c r="C12" s="13"/>
      <c r="D12" s="14"/>
      <c r="E12" s="14"/>
      <c r="F12" s="15"/>
      <c r="G12" s="13"/>
      <c r="H12" s="14"/>
      <c r="I12" s="14"/>
      <c r="J12" s="15"/>
      <c r="K12" s="13"/>
      <c r="L12" s="14"/>
      <c r="M12" s="14"/>
      <c r="N12" s="15"/>
      <c r="O12" s="13"/>
      <c r="P12" s="14"/>
      <c r="Q12" s="14"/>
      <c r="R12" s="15"/>
      <c r="S12" s="13"/>
      <c r="T12" s="14"/>
      <c r="U12" s="14"/>
      <c r="V12" s="15"/>
      <c r="W12" s="28">
        <f t="shared" si="0"/>
        <v>0</v>
      </c>
      <c r="X12" s="29"/>
      <c r="Y12" s="29"/>
      <c r="Z12" s="13">
        <f t="shared" si="1"/>
        <v>0</v>
      </c>
      <c r="AA12" s="14" t="s">
        <v>346</v>
      </c>
      <c r="AB12" s="39">
        <f t="shared" si="2"/>
        <v>0</v>
      </c>
      <c r="AC12" s="40">
        <f t="shared" si="3"/>
        <v>0</v>
      </c>
      <c r="AD12" s="41">
        <f t="shared" si="11"/>
        <v>228</v>
      </c>
      <c r="AE12" s="42">
        <f>IFERROR(INDEX(V!$R:$R,MATCH(AF12,V!$L:$L,0)),"")</f>
        <v>88</v>
      </c>
      <c r="AF12" s="43" t="str">
        <f t="shared" si="5"/>
        <v>Enn Tokman</v>
      </c>
      <c r="AG12" s="42" t="str">
        <f>IFERROR(INDEX(V!$R:$R,MATCH(AH12,V!$L:$L,0)),"")</f>
        <v/>
      </c>
      <c r="AH12" s="43" t="str">
        <f t="shared" si="6"/>
        <v>Ljudmila Varendi, Viktor Švarõgin</v>
      </c>
      <c r="AI12" s="42">
        <f>IFERROR(INDEX(V!$R:$R,MATCH(AJ12,V!$L:$L,0)),"")</f>
        <v>70</v>
      </c>
      <c r="AJ12" s="43" t="str">
        <f t="shared" si="7"/>
        <v>Ljudmila Varendi</v>
      </c>
      <c r="AK12" s="42">
        <f>IFERROR(INDEX(V!$R:$R,MATCH(AL12,V!$L:$L,0)),"")</f>
        <v>70</v>
      </c>
      <c r="AL12" s="43" t="str">
        <f t="shared" si="8"/>
        <v>Viktor Švarõgin</v>
      </c>
      <c r="AM12" s="42" t="str">
        <f>IFERROR(INDEX(V!$R:$R,MATCH(AN12,V!$L:$L,0)),"")</f>
        <v/>
      </c>
      <c r="AN12" s="43" t="str">
        <f t="shared" si="9"/>
        <v/>
      </c>
      <c r="AO12" s="42" t="str">
        <f>IFERROR(INDEX(V!$R:$R,MATCH(AP12,V!$L:$L,0)),"")</f>
        <v/>
      </c>
      <c r="AP12" s="43" t="str">
        <f t="shared" si="10"/>
        <v/>
      </c>
    </row>
    <row r="16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  <row r="35" hidden="1"/>
    <row r="36" hidden="1"/>
    <row r="37" hidden="1"/>
    <row r="38" hidden="1"/>
    <row r="39" hidden="1"/>
    <row r="40" hidden="1"/>
    <row r="41" hidden="1"/>
    <row r="42" hidden="1"/>
    <row r="43" hidden="1"/>
    <row r="44" hidden="1"/>
    <row r="45" hidden="1"/>
    <row r="46" hidden="1"/>
    <row r="47" hidden="1"/>
    <row r="48" hidden="1"/>
    <row r="49" hidden="1"/>
    <row r="50" hidden="1"/>
    <row r="51" hidden="1"/>
    <row r="52" hidden="1"/>
    <row r="53" hidden="1"/>
    <row r="54" hidden="1"/>
    <row r="55" hidden="1"/>
    <row r="56" hidden="1"/>
    <row r="57" hidden="1"/>
    <row r="58" hidden="1"/>
    <row r="59" hidden="1"/>
    <row r="60" hidden="1"/>
    <row r="61" hidden="1"/>
    <row r="62" hidden="1"/>
    <row r="63" hidden="1"/>
    <row r="64" hidden="1"/>
    <row r="65" hidden="1"/>
    <row r="66" hidden="1"/>
    <row r="67" hidden="1"/>
    <row r="68" hidden="1"/>
    <row r="69" hidden="1"/>
    <row r="70" hidden="1"/>
    <row r="71" hidden="1"/>
    <row r="72" hidden="1"/>
    <row r="73" hidden="1"/>
    <row r="74" hidden="1"/>
    <row r="75" hidden="1"/>
    <row r="76" hidden="1"/>
    <row r="77" hidden="1"/>
    <row r="78" hidden="1"/>
    <row r="79" hidden="1"/>
    <row r="80" hidden="1"/>
    <row r="81" hidden="1"/>
    <row r="82" hidden="1"/>
    <row r="83" hidden="1"/>
    <row r="84" hidden="1"/>
    <row r="85" hidden="1"/>
    <row r="86" hidden="1"/>
    <row r="87" hidden="1"/>
    <row r="88" hidden="1"/>
    <row r="89" hidden="1"/>
    <row r="90" hidden="1"/>
    <row r="91" hidden="1"/>
    <row r="92" hidden="1"/>
    <row r="93" hidden="1"/>
    <row r="94" hidden="1"/>
    <row r="95" hidden="1"/>
    <row r="96" hidden="1"/>
    <row r="97" hidden="1"/>
    <row r="98" hidden="1"/>
    <row r="99" hidden="1"/>
    <row r="100" hidden="1"/>
    <row r="101" hidden="1"/>
    <row r="102" hidden="1"/>
    <row r="103" hidden="1"/>
    <row r="104" hidden="1"/>
    <row r="105" hidden="1"/>
    <row r="106" hidden="1"/>
    <row r="107" hidden="1"/>
    <row r="108" hidden="1"/>
    <row r="109" hidden="1"/>
    <row r="110" hidden="1"/>
    <row r="111" hidden="1"/>
    <row r="112" hidden="1"/>
    <row r="113" hidden="1"/>
    <row r="114" hidden="1"/>
    <row r="115" hidden="1"/>
    <row r="116" hidden="1"/>
    <row r="117" hidden="1"/>
    <row r="118" hidden="1"/>
    <row r="119" hidden="1"/>
    <row r="120" hidden="1"/>
    <row r="121" hidden="1"/>
    <row r="122" hidden="1"/>
    <row r="123" hidden="1"/>
    <row r="124" hidden="1"/>
    <row r="125" hidden="1"/>
    <row r="126" hidden="1"/>
    <row r="127" hidden="1"/>
    <row r="128" hidden="1"/>
    <row r="129" hidden="1"/>
    <row r="130" hidden="1"/>
    <row r="131" hidden="1"/>
    <row r="132" hidden="1"/>
    <row r="133" hidden="1"/>
    <row r="134" hidden="1"/>
    <row r="135" hidden="1"/>
    <row r="136" hidden="1"/>
    <row r="137" hidden="1"/>
    <row r="138" hidden="1"/>
    <row r="139" hidden="1"/>
    <row r="140" hidden="1"/>
    <row r="141" hidden="1"/>
    <row r="142" hidden="1"/>
    <row r="143" hidden="1"/>
    <row r="144" hidden="1"/>
    <row r="145" hidden="1"/>
    <row r="146" hidden="1"/>
    <row r="147" hidden="1"/>
    <row r="148" hidden="1"/>
    <row r="149" hidden="1"/>
    <row r="150" hidden="1"/>
    <row r="151" hidden="1"/>
    <row r="152" hidden="1"/>
    <row r="153" hidden="1"/>
    <row r="154" hidden="1"/>
    <row r="155" hidden="1"/>
    <row r="156" hidden="1"/>
    <row r="157" hidden="1"/>
    <row r="158" hidden="1"/>
    <row r="159" hidden="1"/>
    <row r="160" hidden="1"/>
    <row r="161" hidden="1"/>
    <row r="162" hidden="1"/>
    <row r="163" hidden="1"/>
    <row r="164" hidden="1"/>
    <row r="165" hidden="1"/>
    <row r="166" hidden="1"/>
    <row r="167" hidden="1"/>
    <row r="168" hidden="1"/>
    <row r="169" hidden="1"/>
    <row r="170" hidden="1"/>
    <row r="171" hidden="1"/>
    <row r="172" hidden="1"/>
    <row r="173" hidden="1"/>
    <row r="174" hidden="1"/>
    <row r="175" hidden="1"/>
    <row r="176" hidden="1"/>
    <row r="177" hidden="1"/>
    <row r="178" hidden="1"/>
    <row r="179" hidden="1"/>
    <row r="180" hidden="1"/>
    <row r="181" hidden="1"/>
    <row r="182" hidden="1"/>
    <row r="183" hidden="1"/>
    <row r="184" hidden="1"/>
    <row r="185" hidden="1"/>
    <row r="186" hidden="1"/>
    <row r="187" hidden="1"/>
    <row r="188" hidden="1"/>
    <row r="189" hidden="1"/>
    <row r="190" hidden="1"/>
    <row r="191" hidden="1"/>
    <row r="192" hidden="1"/>
    <row r="193" hidden="1"/>
    <row r="194" hidden="1"/>
    <row r="195" hidden="1"/>
    <row r="196" hidden="1"/>
    <row r="197" hidden="1"/>
    <row r="198" hidden="1"/>
    <row r="199" hidden="1"/>
    <row r="200" hidden="1"/>
    <row r="201" hidden="1"/>
    <row r="202" hidden="1"/>
    <row r="203" hidden="1"/>
    <row r="204" hidden="1"/>
    <row r="205" hidden="1"/>
    <row r="206" hidden="1"/>
    <row r="207" hidden="1"/>
    <row r="208" hidden="1"/>
    <row r="209" hidden="1"/>
    <row r="210" hidden="1"/>
    <row r="211" hidden="1"/>
    <row r="212" hidden="1"/>
    <row r="213" hidden="1"/>
    <row r="214" hidden="1"/>
    <row r="215" hidden="1"/>
    <row r="216" hidden="1"/>
    <row r="217" hidden="1"/>
    <row r="218" hidden="1"/>
    <row r="219" hidden="1"/>
    <row r="220" hidden="1"/>
    <row r="221" hidden="1"/>
    <row r="222" hidden="1"/>
    <row r="223" hidden="1"/>
    <row r="224" hidden="1"/>
    <row r="225" hidden="1"/>
    <row r="226" hidden="1"/>
    <row r="227" hidden="1"/>
    <row r="228" hidden="1"/>
    <row r="229" hidden="1"/>
    <row r="230" hidden="1"/>
    <row r="231" hidden="1"/>
    <row r="232" hidden="1"/>
    <row r="233" hidden="1"/>
    <row r="234" hidden="1"/>
    <row r="235" hidden="1"/>
    <row r="236" hidden="1"/>
    <row r="237" hidden="1"/>
    <row r="238" hidden="1"/>
    <row r="239" hidden="1"/>
    <row r="240" hidden="1"/>
    <row r="241" hidden="1"/>
    <row r="242" hidden="1"/>
    <row r="243" hidden="1"/>
    <row r="244" hidden="1"/>
    <row r="245" hidden="1"/>
    <row r="246" hidden="1"/>
    <row r="247" hidden="1"/>
    <row r="248" hidden="1"/>
    <row r="249" hidden="1"/>
    <row r="250" hidden="1"/>
    <row r="251" hidden="1"/>
    <row r="252" hidden="1"/>
    <row r="253" hidden="1"/>
    <row r="254" hidden="1"/>
    <row r="255" hidden="1"/>
    <row r="256" hidden="1"/>
    <row r="257" hidden="1"/>
    <row r="258" hidden="1"/>
    <row r="259" hidden="1"/>
    <row r="260" hidden="1"/>
    <row r="261" hidden="1"/>
    <row r="262" hidden="1"/>
    <row r="263" hidden="1"/>
    <row r="264" hidden="1"/>
    <row r="265" hidden="1"/>
    <row r="266" hidden="1"/>
    <row r="267" hidden="1"/>
    <row r="268" hidden="1"/>
    <row r="269" hidden="1"/>
    <row r="270" hidden="1"/>
    <row r="271" hidden="1"/>
    <row r="272" hidden="1"/>
    <row r="273" hidden="1"/>
    <row r="274" hidden="1"/>
    <row r="275" hidden="1"/>
    <row r="276" hidden="1"/>
    <row r="277" hidden="1"/>
    <row r="278" hidden="1"/>
    <row r="279" hidden="1"/>
    <row r="280" hidden="1"/>
    <row r="281" hidden="1"/>
    <row r="282" hidden="1"/>
    <row r="283" hidden="1"/>
    <row r="284" hidden="1"/>
    <row r="285" hidden="1"/>
    <row r="286" hidden="1"/>
    <row r="287" hidden="1"/>
    <row r="288" hidden="1"/>
    <row r="289" hidden="1"/>
    <row r="290" hidden="1"/>
    <row r="291" hidden="1"/>
    <row r="292" hidden="1"/>
    <row r="293" hidden="1"/>
    <row r="294" hidden="1"/>
    <row r="295" hidden="1"/>
    <row r="296" hidden="1"/>
    <row r="297" hidden="1"/>
    <row r="298" hidden="1"/>
    <row r="299" spans="1:6">
      <c r="A299" s="6"/>
      <c r="B299" s="6"/>
      <c r="C299" s="49" t="s">
        <v>162</v>
      </c>
      <c r="F299" s="50"/>
    </row>
    <row r="300" spans="1:6">
      <c r="A300" s="51">
        <v>1</v>
      </c>
      <c r="B300" s="52" t="str">
        <f t="shared" ref="B300:B306" si="12">IFERROR(INDEX(B$1:B$95,MATCH(A300,A$1:A$95,0)),"")</f>
        <v>Meelis Luud, Olav Türk, Sander Rose</v>
      </c>
      <c r="C300" s="53">
        <v>5</v>
      </c>
      <c r="F300" s="50"/>
    </row>
    <row r="301" spans="1:6">
      <c r="A301" s="51">
        <v>2</v>
      </c>
      <c r="B301" s="52" t="str">
        <f t="shared" si="12"/>
        <v>Aarne Välja, Jaan Sepp, Oskar Sepp</v>
      </c>
      <c r="C301" s="53">
        <v>4</v>
      </c>
      <c r="F301" s="50"/>
    </row>
    <row r="302" spans="1:6">
      <c r="A302" s="51">
        <v>3</v>
      </c>
      <c r="B302" s="52" t="str">
        <f t="shared" si="12"/>
        <v>Andres Veski,  Johannes Neiland, Svetlana Veski</v>
      </c>
      <c r="C302" s="53">
        <v>3</v>
      </c>
      <c r="F302" s="50"/>
    </row>
    <row r="303" spans="1:6">
      <c r="A303" s="51">
        <v>4</v>
      </c>
      <c r="B303" s="52" t="str">
        <f t="shared" si="12"/>
        <v>Andrei Grintšak, Kristel Tihhonjuk, Vadim Tihhonjuk</v>
      </c>
      <c r="C303" s="53">
        <v>2</v>
      </c>
      <c r="F303" s="50"/>
    </row>
    <row r="304" spans="1:6">
      <c r="A304" s="51">
        <v>5</v>
      </c>
      <c r="B304" s="52" t="str">
        <f t="shared" si="12"/>
        <v>Boriss Klubov, Elmo Lageda, Peep Peenema</v>
      </c>
      <c r="C304" s="53">
        <v>1</v>
      </c>
      <c r="F304" s="50"/>
    </row>
    <row r="305" spans="1:6">
      <c r="A305" s="51">
        <v>6</v>
      </c>
      <c r="B305" s="52" t="str">
        <f t="shared" si="12"/>
        <v>Enn Tokman, Ljudmila Varendi, Viktor Švarõgin</v>
      </c>
      <c r="C305" s="53">
        <v>0</v>
      </c>
      <c r="F305" s="50"/>
    </row>
    <row r="306" spans="6:6">
      <c r="F306" s="50"/>
    </row>
  </sheetData>
  <conditionalFormatting sqref="A7:A12">
    <cfRule type="duplicateValues" dxfId="17" priority="33"/>
  </conditionalFormatting>
  <conditionalFormatting sqref="B300:B305">
    <cfRule type="expression" dxfId="3" priority="39">
      <formula>A300=3</formula>
    </cfRule>
    <cfRule type="expression" dxfId="4" priority="40">
      <formula>A300=2</formula>
    </cfRule>
    <cfRule type="expression" dxfId="18" priority="41">
      <formula>A300=1</formula>
    </cfRule>
    <cfRule type="containsBlanks" dxfId="19" priority="42">
      <formula>LEN(TRIM(B300))=0</formula>
    </cfRule>
    <cfRule type="duplicateValues" dxfId="8" priority="43"/>
  </conditionalFormatting>
  <conditionalFormatting sqref="C7:C12">
    <cfRule type="expression" dxfId="20" priority="15">
      <formula>IF($C7&gt;$E7,TRUE)</formula>
    </cfRule>
  </conditionalFormatting>
  <conditionalFormatting sqref="E7:E12">
    <cfRule type="expression" dxfId="20" priority="16">
      <formula>IF($C7&lt;$E7,TRUE)</formula>
    </cfRule>
  </conditionalFormatting>
  <conditionalFormatting sqref="F7:F12">
    <cfRule type="containsText" dxfId="21" priority="6" operator="between" text="vaba voor">
      <formula>NOT(ISERROR(SEARCH("vaba voor",F7)))</formula>
    </cfRule>
  </conditionalFormatting>
  <conditionalFormatting sqref="G7:G12">
    <cfRule type="expression" dxfId="20" priority="19">
      <formula>IF($G7&gt;$I7,TRUE)</formula>
    </cfRule>
  </conditionalFormatting>
  <conditionalFormatting sqref="I7:I12">
    <cfRule type="expression" dxfId="20" priority="20">
      <formula>IF($G7&lt;$I7,TRUE)</formula>
    </cfRule>
  </conditionalFormatting>
  <conditionalFormatting sqref="J7:J12">
    <cfRule type="containsText" dxfId="21" priority="5" operator="between" text="vaba voor">
      <formula>NOT(ISERROR(SEARCH("vaba voor",J7)))</formula>
    </cfRule>
  </conditionalFormatting>
  <conditionalFormatting sqref="K7:K12">
    <cfRule type="expression" dxfId="20" priority="23">
      <formula>IF($K7&gt;$M7,TRUE)</formula>
    </cfRule>
  </conditionalFormatting>
  <conditionalFormatting sqref="M7:M12">
    <cfRule type="expression" dxfId="20" priority="24">
      <formula>IF($K7&lt;$M7,TRUE)</formula>
    </cfRule>
  </conditionalFormatting>
  <conditionalFormatting sqref="N7:N12">
    <cfRule type="containsText" dxfId="21" priority="4" operator="between" text="vaba voor">
      <formula>NOT(ISERROR(SEARCH("vaba voor",N7)))</formula>
    </cfRule>
  </conditionalFormatting>
  <conditionalFormatting sqref="O7:O12">
    <cfRule type="expression" dxfId="20" priority="27">
      <formula>IF($O7&gt;$Q7,TRUE)</formula>
    </cfRule>
  </conditionalFormatting>
  <conditionalFormatting sqref="Q7:Q12">
    <cfRule type="expression" dxfId="20" priority="28">
      <formula>IF($O7&lt;$Q7,TRUE)</formula>
    </cfRule>
  </conditionalFormatting>
  <conditionalFormatting sqref="R7:R12">
    <cfRule type="containsText" dxfId="21" priority="7" operator="between" text="vaba voor">
      <formula>NOT(ISERROR(SEARCH("vaba voor",R7)))</formula>
    </cfRule>
  </conditionalFormatting>
  <conditionalFormatting sqref="S7:S12">
    <cfRule type="expression" dxfId="20" priority="31">
      <formula>IF($S7&gt;$U7,TRUE)</formula>
    </cfRule>
  </conditionalFormatting>
  <conditionalFormatting sqref="U7:U12">
    <cfRule type="expression" dxfId="20" priority="32">
      <formula>IF($S7&lt;$U7,TRUE)</formula>
    </cfRule>
  </conditionalFormatting>
  <conditionalFormatting sqref="V7:V12">
    <cfRule type="containsText" dxfId="21" priority="3" operator="between" text="vaba voor">
      <formula>NOT(ISERROR(SEARCH("vaba voor",V7)))</formula>
    </cfRule>
  </conditionalFormatting>
  <conditionalFormatting sqref="AF7:AF12">
    <cfRule type="expression" dxfId="22" priority="37">
      <formula>AND(AE7="",COUNTIF(AF7,"*,*")=0)</formula>
    </cfRule>
  </conditionalFormatting>
  <conditionalFormatting sqref="C7:F12">
    <cfRule type="expression" dxfId="5" priority="11">
      <formula>IF(AND(ISNUMBER($C7),$C7=$E7),TRUE)</formula>
    </cfRule>
    <cfRule type="expression" dxfId="7" priority="13">
      <formula>IF($C7&gt;$E7,TRUE)</formula>
    </cfRule>
    <cfRule type="expression" dxfId="23" priority="14">
      <formula>IF($C7&lt;$E7,TRUE)</formula>
    </cfRule>
  </conditionalFormatting>
  <conditionalFormatting sqref="C7:C12;G7:G12;K7:K12;O7:O12;S7:S12">
    <cfRule type="expression" dxfId="24" priority="1">
      <formula>AND(C7=0,E7=13)</formula>
    </cfRule>
  </conditionalFormatting>
  <conditionalFormatting sqref="E7:E12;I7:I12;M7:M12;Q7:Q12;U7:U12">
    <cfRule type="expression" dxfId="24" priority="2">
      <formula>AND(E7=0,C7=13)</formula>
    </cfRule>
  </conditionalFormatting>
  <conditionalFormatting sqref="G7:J12">
    <cfRule type="expression" dxfId="5" priority="12">
      <formula>IF(AND(ISNUMBER($G7),$G7=$I7),TRUE)</formula>
    </cfRule>
    <cfRule type="expression" dxfId="7" priority="17">
      <formula>IF($G7&gt;$I7,TRUE)</formula>
    </cfRule>
    <cfRule type="expression" dxfId="23" priority="18">
      <formula>IF($G7&lt;$I7,TRUE)</formula>
    </cfRule>
  </conditionalFormatting>
  <conditionalFormatting sqref="K7:N12">
    <cfRule type="expression" dxfId="5" priority="10">
      <formula>IF(AND(ISNUMBER($K7),$K7=$M7),TRUE)</formula>
    </cfRule>
    <cfRule type="expression" dxfId="7" priority="21">
      <formula>IF($K7&gt;$M7,TRUE)</formula>
    </cfRule>
    <cfRule type="expression" dxfId="23" priority="22">
      <formula>IF($K7&lt;$M7,TRUE)</formula>
    </cfRule>
  </conditionalFormatting>
  <conditionalFormatting sqref="O7:R12">
    <cfRule type="expression" dxfId="5" priority="9">
      <formula>IF(AND(ISNUMBER($O7),$O7=$Q7),TRUE)</formula>
    </cfRule>
    <cfRule type="expression" dxfId="7" priority="25">
      <formula>IF($O7&gt;$Q7,TRUE)</formula>
    </cfRule>
    <cfRule type="expression" dxfId="23" priority="26">
      <formula>IF($O7&lt;$Q7,TRUE)</formula>
    </cfRule>
  </conditionalFormatting>
  <conditionalFormatting sqref="S7:V12">
    <cfRule type="expression" dxfId="5" priority="8">
      <formula>IF(AND(ISNUMBER($S7),$S7=$U7),TRUE)</formula>
    </cfRule>
    <cfRule type="expression" dxfId="7" priority="29">
      <formula>IF($S7&gt;$U7,TRUE)</formula>
    </cfRule>
    <cfRule type="expression" dxfId="23" priority="30">
      <formula>IF($S7&lt;$U7,TRUE)</formula>
    </cfRule>
  </conditionalFormatting>
  <conditionalFormatting sqref="AJ7:AJ12;AH7:AH12;AL7:AL12">
    <cfRule type="expression" dxfId="25" priority="36">
      <formula>AND(AG7="",FIND(",",AH7))</formula>
    </cfRule>
    <cfRule type="expression" dxfId="22" priority="38">
      <formula>AND(AG7="",COUNTIF(AH7,"*,*")=0)</formula>
    </cfRule>
  </conditionalFormatting>
  <conditionalFormatting sqref="AN7:AN12;AP7:AP12">
    <cfRule type="expression" dxfId="22" priority="34">
      <formula>AND(AM7="",COUNTIF(AN7,"*,*")=0)</formula>
    </cfRule>
    <cfRule type="expression" dxfId="25" priority="35">
      <formula>AND(AM7="",FIND(",",AN7))</formula>
    </cfRule>
  </conditionalFormatting>
  <pageMargins left="0.275590551181102" right="0.275590551181102" top="0.78740157480315" bottom="0.393700787401575" header="0.78740157480315" footer="0"/>
  <pageSetup paperSize="9" fitToHeight="0" orientation="landscape" verticalDpi="1200"/>
  <headerFooter>
    <oddHeader>&amp;R&amp;P. leht &amp;N&amp; -st</oddHeader>
  </headerFooter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CCFFCC"/>
    <pageSetUpPr fitToPage="1"/>
  </sheetPr>
  <dimension ref="A1:AP312"/>
  <sheetViews>
    <sheetView showGridLines="0" showRowColHeaders="0" workbookViewId="0">
      <pane ySplit="1" topLeftCell="A2" activePane="bottomLeft" state="frozen"/>
      <selection/>
      <selection pane="bottomLeft" activeCell="A5" sqref="A5"/>
    </sheetView>
  </sheetViews>
  <sheetFormatPr defaultColWidth="9" defaultRowHeight="12.3"/>
  <cols>
    <col min="1" max="1" width="3.28828828828829" style="3" customWidth="1"/>
    <col min="2" max="2" width="29.8198198198198" style="3" customWidth="1"/>
    <col min="3" max="3" width="4.71171171171171" style="3" customWidth="1"/>
    <col min="4" max="4" width="1.14414414414414" style="3" customWidth="1"/>
    <col min="5" max="5" width="2.71171171171171" style="3" customWidth="1"/>
    <col min="6" max="6" width="9.14414414414414" style="3"/>
    <col min="7" max="7" width="2.71171171171171" style="3" customWidth="1"/>
    <col min="8" max="8" width="1.14414414414414" style="3" customWidth="1"/>
    <col min="9" max="9" width="2.71171171171171" style="3" customWidth="1"/>
    <col min="10" max="10" width="9.14414414414414" style="3"/>
    <col min="11" max="11" width="2.71171171171171" style="3" customWidth="1"/>
    <col min="12" max="12" width="1.14414414414414" style="3" customWidth="1"/>
    <col min="13" max="13" width="2.71171171171171" style="3" customWidth="1"/>
    <col min="14" max="14" width="9.14414414414414" style="3"/>
    <col min="15" max="15" width="2.71171171171171" style="3" customWidth="1"/>
    <col min="16" max="16" width="1.14414414414414" style="3" customWidth="1"/>
    <col min="17" max="17" width="2.71171171171171" style="3" customWidth="1"/>
    <col min="18" max="18" width="9.14414414414414" style="3"/>
    <col min="19" max="19" width="2.71171171171171" style="3" hidden="1" customWidth="1"/>
    <col min="20" max="20" width="1.14414414414414" style="3" hidden="1" customWidth="1"/>
    <col min="21" max="21" width="2.71171171171171" style="3" hidden="1" customWidth="1"/>
    <col min="22" max="22" width="9" style="3" hidden="1" customWidth="1"/>
    <col min="23" max="23" width="5.71171171171171" style="3" customWidth="1"/>
    <col min="24" max="24" width="5.56756756756757" style="3" customWidth="1"/>
    <col min="25" max="25" width="7.42342342342342" style="3" customWidth="1"/>
    <col min="26" max="26" width="2.71171171171171" style="3" customWidth="1"/>
    <col min="27" max="27" width="1.14414414414414" style="3" customWidth="1"/>
    <col min="28" max="28" width="2.71171171171171" style="3" customWidth="1"/>
    <col min="29" max="29" width="4.71171171171171" style="3" customWidth="1"/>
    <col min="30" max="31" width="9.14414414414414" style="3" hidden="1" customWidth="1"/>
    <col min="32" max="32" width="17" style="3" hidden="1" customWidth="1"/>
    <col min="33" max="33" width="9.14414414414414" style="3" hidden="1" customWidth="1"/>
    <col min="34" max="34" width="18.2882882882883" style="3" hidden="1" customWidth="1"/>
    <col min="35" max="35" width="9.14414414414414" style="3" hidden="1" customWidth="1"/>
    <col min="36" max="36" width="17.2882882882883" style="3" hidden="1" customWidth="1"/>
    <col min="37" max="37" width="9.14414414414414" style="3" hidden="1" customWidth="1"/>
    <col min="38" max="38" width="13.8558558558559" style="3" hidden="1" customWidth="1"/>
    <col min="39" max="39" width="9.14414414414414" style="3" hidden="1" customWidth="1"/>
    <col min="40" max="40" width="17.2882882882883" style="3" hidden="1" customWidth="1"/>
    <col min="41" max="41" width="9.14414414414414" style="3" hidden="1" customWidth="1"/>
    <col min="42" max="42" width="13.8558558558559" style="3" hidden="1" customWidth="1"/>
    <col min="43" max="16384" width="9.14414414414414" style="3"/>
  </cols>
  <sheetData>
    <row r="1" spans="1:42">
      <c r="A1" s="4" t="str">
        <f>UPPER((Kalend!E13)&amp;" - "&amp;(Kalend!C13))&amp;" - "&amp;LOWER(Kalend!D13)&amp;" - "&amp;(Kalend!A13)&amp;" kell "&amp;(Kalend!B13)&amp;" - "&amp;(Kalend!F13)</f>
        <v>V3 - VOKA XI KV 3. ETAPP - duo - T, 04.06.2024 kell 18:00 - Voka staadion</v>
      </c>
      <c r="O1" s="6"/>
      <c r="P1" s="6"/>
      <c r="Q1" s="20"/>
      <c r="R1" s="20"/>
      <c r="S1" s="20"/>
      <c r="T1" s="21"/>
      <c r="U1" s="21"/>
      <c r="V1" s="21"/>
      <c r="W1" s="6"/>
      <c r="X1" s="22"/>
      <c r="Y1" s="6"/>
      <c r="Z1" s="6"/>
      <c r="AD1" s="30" t="s">
        <v>149</v>
      </c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47"/>
      <c r="AP1" s="47"/>
    </row>
    <row r="2" spans="1:40">
      <c r="A2" s="5"/>
      <c r="F2" s="6"/>
      <c r="L2" s="19"/>
      <c r="M2" s="19"/>
      <c r="N2" s="19"/>
      <c r="O2" s="6"/>
      <c r="P2" s="6"/>
      <c r="Q2" s="6"/>
      <c r="R2" s="23" t="s">
        <v>322</v>
      </c>
      <c r="S2" s="6"/>
      <c r="T2" s="19"/>
      <c r="U2" s="19"/>
      <c r="V2" s="19"/>
      <c r="W2" s="24">
        <v>1</v>
      </c>
      <c r="X2" s="6" t="s">
        <v>323</v>
      </c>
      <c r="Y2" s="6"/>
      <c r="Z2" s="6"/>
      <c r="AA2" s="6"/>
      <c r="AB2" s="6"/>
      <c r="AE2" s="6"/>
      <c r="AG2" s="6"/>
      <c r="AH2" s="6"/>
      <c r="AI2" s="6"/>
      <c r="AJ2" s="6"/>
      <c r="AK2" s="6"/>
      <c r="AL2" s="6"/>
      <c r="AM2" s="6"/>
      <c r="AN2" s="6"/>
    </row>
    <row r="3" spans="1:42">
      <c r="A3" s="5"/>
      <c r="F3" s="6"/>
      <c r="L3" s="6"/>
      <c r="M3" s="6"/>
      <c r="N3" s="6"/>
      <c r="O3" s="6"/>
      <c r="P3" s="6"/>
      <c r="Q3" s="6"/>
      <c r="R3" s="25" t="s">
        <v>324</v>
      </c>
      <c r="S3" s="6"/>
      <c r="T3" s="6"/>
      <c r="U3" s="6"/>
      <c r="V3" s="6"/>
      <c r="W3" s="24">
        <v>0.5</v>
      </c>
      <c r="X3" s="6" t="s">
        <v>325</v>
      </c>
      <c r="Y3" s="6"/>
      <c r="Z3" s="6"/>
      <c r="AA3" s="6"/>
      <c r="AB3" s="6"/>
      <c r="AE3" s="19"/>
      <c r="AF3" s="19"/>
      <c r="AG3" s="19"/>
      <c r="AH3" s="44"/>
      <c r="AI3" s="19"/>
      <c r="AJ3" s="19"/>
      <c r="AK3" s="19"/>
      <c r="AL3" s="19"/>
      <c r="AM3" s="19"/>
      <c r="AN3" s="19"/>
      <c r="AO3" s="19"/>
      <c r="AP3" s="19"/>
    </row>
    <row r="4" spans="6:28">
      <c r="F4" s="6"/>
      <c r="L4" s="6"/>
      <c r="M4" s="6"/>
      <c r="N4" s="6"/>
      <c r="O4" s="6"/>
      <c r="P4" s="6"/>
      <c r="Q4" s="6"/>
      <c r="R4" s="26" t="s">
        <v>326</v>
      </c>
      <c r="S4" s="6"/>
      <c r="T4" s="6"/>
      <c r="U4" s="6"/>
      <c r="V4" s="6"/>
      <c r="W4" s="24">
        <v>0</v>
      </c>
      <c r="X4" s="6" t="s">
        <v>325</v>
      </c>
      <c r="Y4" s="6"/>
      <c r="Z4" s="6"/>
      <c r="AA4" s="6"/>
      <c r="AB4" s="6"/>
    </row>
    <row r="5" spans="6:30">
      <c r="F5" s="6"/>
      <c r="L5" s="6"/>
      <c r="M5" s="6"/>
      <c r="N5" s="6"/>
      <c r="O5" s="6"/>
      <c r="P5" s="6"/>
      <c r="Q5" s="6"/>
      <c r="R5" s="6"/>
      <c r="S5" s="6"/>
      <c r="T5" s="6"/>
      <c r="U5" s="6"/>
      <c r="W5" s="6"/>
      <c r="X5" s="6"/>
      <c r="Y5" s="6"/>
      <c r="Z5" s="6"/>
      <c r="AA5" s="6"/>
      <c r="AB5" s="32" t="s">
        <v>327</v>
      </c>
      <c r="AD5" s="33" t="s">
        <v>328</v>
      </c>
    </row>
    <row r="6" spans="1:42">
      <c r="A6" s="7" t="s">
        <v>329</v>
      </c>
      <c r="B6" s="7" t="s">
        <v>180</v>
      </c>
      <c r="C6" s="8" t="s">
        <v>330</v>
      </c>
      <c r="D6" s="9"/>
      <c r="E6" s="9"/>
      <c r="F6" s="10"/>
      <c r="G6" s="8" t="s">
        <v>331</v>
      </c>
      <c r="H6" s="9"/>
      <c r="I6" s="9"/>
      <c r="J6" s="10"/>
      <c r="K6" s="8" t="s">
        <v>332</v>
      </c>
      <c r="L6" s="9"/>
      <c r="M6" s="9"/>
      <c r="N6" s="10"/>
      <c r="O6" s="8" t="s">
        <v>333</v>
      </c>
      <c r="P6" s="9"/>
      <c r="Q6" s="9"/>
      <c r="R6" s="10"/>
      <c r="S6" s="8" t="s">
        <v>334</v>
      </c>
      <c r="T6" s="9"/>
      <c r="U6" s="9"/>
      <c r="V6" s="10"/>
      <c r="W6" s="7" t="s">
        <v>162</v>
      </c>
      <c r="X6" s="27" t="s">
        <v>335</v>
      </c>
      <c r="Y6" s="7" t="s">
        <v>336</v>
      </c>
      <c r="Z6" s="27"/>
      <c r="AA6" s="34" t="s">
        <v>337</v>
      </c>
      <c r="AB6" s="35"/>
      <c r="AC6" s="36" t="s">
        <v>338</v>
      </c>
      <c r="AD6" s="37" t="s">
        <v>168</v>
      </c>
      <c r="AE6" s="38"/>
      <c r="AF6" s="38" t="s">
        <v>339</v>
      </c>
      <c r="AG6" s="38"/>
      <c r="AH6" s="45" t="s">
        <v>340</v>
      </c>
      <c r="AI6" s="38"/>
      <c r="AJ6" s="38" t="s">
        <v>341</v>
      </c>
      <c r="AK6" s="46"/>
      <c r="AL6" s="38" t="s">
        <v>342</v>
      </c>
      <c r="AM6" s="46"/>
      <c r="AN6" s="46" t="s">
        <v>343</v>
      </c>
      <c r="AO6" s="48"/>
      <c r="AP6" s="46" t="s">
        <v>344</v>
      </c>
    </row>
    <row r="7" spans="1:42">
      <c r="A7" s="11">
        <v>1</v>
      </c>
      <c r="B7" s="16" t="s">
        <v>384</v>
      </c>
      <c r="C7" s="13">
        <v>13</v>
      </c>
      <c r="D7" s="14" t="s">
        <v>346</v>
      </c>
      <c r="E7" s="14">
        <v>2</v>
      </c>
      <c r="F7" s="15" t="s">
        <v>349</v>
      </c>
      <c r="G7" s="13">
        <v>13</v>
      </c>
      <c r="H7" s="14" t="s">
        <v>346</v>
      </c>
      <c r="I7" s="14">
        <v>10</v>
      </c>
      <c r="J7" s="15" t="s">
        <v>385</v>
      </c>
      <c r="K7" s="13">
        <v>13</v>
      </c>
      <c r="L7" s="14" t="s">
        <v>346</v>
      </c>
      <c r="M7" s="14">
        <v>8</v>
      </c>
      <c r="N7" s="15" t="s">
        <v>363</v>
      </c>
      <c r="O7" s="13">
        <v>13</v>
      </c>
      <c r="P7" s="14" t="s">
        <v>346</v>
      </c>
      <c r="Q7" s="14">
        <v>2</v>
      </c>
      <c r="R7" s="15" t="s">
        <v>359</v>
      </c>
      <c r="S7" s="13"/>
      <c r="T7" s="14"/>
      <c r="U7" s="14"/>
      <c r="V7" s="15"/>
      <c r="W7" s="28">
        <f t="shared" ref="W7:W19" si="0">IF(C7&gt;E7,W$2,IF(C7&lt;E7,W$4,IF(ISNUMBER(C7),W$3,0)))+IF(G7&gt;I7,W$2,IF(G7&lt;I7,W$4,IF(ISNUMBER(G7),W$3,0)))+IF(K7&gt;M7,W$2,IF(K7&lt;M7,W$4,IF(ISNUMBER(K7),W$3,0)))+IF(O7&gt;Q7,W$2,IF(O7&lt;Q7,W$4,IF(ISNUMBER(O7),W$3,0)))+IF(S7&gt;U7,W$2,IF(S7&lt;U7,W$4,IF(ISNUMBER(S7),W$3,0)))</f>
        <v>4</v>
      </c>
      <c r="X7" s="29">
        <v>20</v>
      </c>
      <c r="Y7" s="29">
        <v>74</v>
      </c>
      <c r="Z7" s="13">
        <f t="shared" ref="Z7:Z19" si="1">C7+G7+K7+O7+S7</f>
        <v>52</v>
      </c>
      <c r="AA7" s="14" t="s">
        <v>346</v>
      </c>
      <c r="AB7" s="39">
        <f t="shared" ref="AB7:AB19" si="2">E7+I7+M7+Q7+U7</f>
        <v>22</v>
      </c>
      <c r="AC7" s="40">
        <f t="shared" ref="AC7:AC19" si="3">Z7-AB7</f>
        <v>30</v>
      </c>
      <c r="AD7" s="41">
        <f t="shared" ref="AD7:AD10" si="4">SUM(AE7:AL7)</f>
        <v>242</v>
      </c>
      <c r="AE7" s="42">
        <f>IFERROR(INDEX(V!$R:$R,MATCH(AF7,V!$L:$L,0)),"")</f>
        <v>72</v>
      </c>
      <c r="AF7" s="43" t="str">
        <f t="shared" ref="AF7:AF21" si="5">IFERROR(LEFT($B7,(FIND(",",$B7,1)-1)),"")</f>
        <v>Hillar Neiland</v>
      </c>
      <c r="AG7" s="42">
        <f>IFERROR(INDEX(V!$R:$R,MATCH(AH7,V!$L:$L,0)),"")</f>
        <v>170</v>
      </c>
      <c r="AH7" s="43" t="str">
        <f t="shared" ref="AH7:AH21" si="6">IFERROR(MID($B7,FIND(", ",$B7)+2,256),"")</f>
        <v>Tõnis Neiland</v>
      </c>
      <c r="AI7" s="42" t="str">
        <f>IFERROR(INDEX(V!$R:$R,MATCH(AJ7,V!$L:$L,0)),"")</f>
        <v/>
      </c>
      <c r="AJ7" s="43" t="str">
        <f t="shared" ref="AJ7:AJ21" si="7">IFERROR(MID($B7,FIND("^",SUBSTITUTE($B7,", ","^",1))+2,FIND("^",SUBSTITUTE($B7,", ","^",2))-FIND("^",SUBSTITUTE($B7,", ","^",1))-2),"")</f>
        <v/>
      </c>
      <c r="AK7" s="42" t="str">
        <f>IFERROR(INDEX(V!$R:$R,MATCH(AL7,V!$L:$L,0)),"")</f>
        <v/>
      </c>
      <c r="AL7" s="43" t="str">
        <f t="shared" ref="AL7:AL21" si="8">IFERROR(MID($B7,FIND(", ",$B7,FIND(", ",$B7,FIND(", ",$B7))+1)+2,30000),"")</f>
        <v/>
      </c>
      <c r="AM7" s="42" t="str">
        <f>IFERROR(INDEX(V!$R:$R,MATCH(AN7,V!$L:$L,0)),"")</f>
        <v/>
      </c>
      <c r="AN7" s="43" t="str">
        <f t="shared" ref="AN7:AN21" si="9">IFERROR(MID($B7,FIND(", ",$B7,FIND(", ",$B7)+1)+2,FIND(", ",$B7,FIND(", ",$B7,FIND(", ",$B7)+1)+1)-FIND(", ",$B7,FIND(", ",$B7)+1)-2),"")</f>
        <v/>
      </c>
      <c r="AO7" s="42" t="str">
        <f>IFERROR(INDEX(V!$R:$R,MATCH(AP7,V!$L:$L,0)),"")</f>
        <v/>
      </c>
      <c r="AP7" s="43" t="str">
        <f t="shared" ref="AP7:AP21" si="10">IFERROR(MID($B7,FIND(", ",$B7,FIND(", ",$B7,FIND(", ",$B7)+1)+1)+2,30000),"")</f>
        <v/>
      </c>
    </row>
    <row r="8" spans="1:42">
      <c r="A8" s="11">
        <v>2</v>
      </c>
      <c r="B8" s="16" t="s">
        <v>363</v>
      </c>
      <c r="C8" s="13">
        <v>13</v>
      </c>
      <c r="D8" s="14" t="s">
        <v>346</v>
      </c>
      <c r="E8" s="14">
        <v>4</v>
      </c>
      <c r="F8" s="15" t="s">
        <v>375</v>
      </c>
      <c r="G8" s="13">
        <v>13</v>
      </c>
      <c r="H8" s="14" t="s">
        <v>346</v>
      </c>
      <c r="I8" s="14">
        <v>11</v>
      </c>
      <c r="J8" s="15" t="s">
        <v>347</v>
      </c>
      <c r="K8" s="13">
        <v>8</v>
      </c>
      <c r="L8" s="14" t="s">
        <v>346</v>
      </c>
      <c r="M8" s="14">
        <v>13</v>
      </c>
      <c r="N8" s="15" t="s">
        <v>384</v>
      </c>
      <c r="O8" s="13">
        <v>13</v>
      </c>
      <c r="P8" s="14" t="s">
        <v>346</v>
      </c>
      <c r="Q8" s="14">
        <v>5</v>
      </c>
      <c r="R8" s="15" t="s">
        <v>356</v>
      </c>
      <c r="S8" s="13"/>
      <c r="T8" s="14"/>
      <c r="U8" s="14"/>
      <c r="V8" s="15"/>
      <c r="W8" s="28">
        <f t="shared" si="0"/>
        <v>3</v>
      </c>
      <c r="X8" s="29">
        <v>20</v>
      </c>
      <c r="Y8" s="29">
        <v>70</v>
      </c>
      <c r="Z8" s="13">
        <f t="shared" si="1"/>
        <v>47</v>
      </c>
      <c r="AA8" s="14" t="s">
        <v>346</v>
      </c>
      <c r="AB8" s="39">
        <f t="shared" si="2"/>
        <v>33</v>
      </c>
      <c r="AC8" s="40">
        <f t="shared" si="3"/>
        <v>14</v>
      </c>
      <c r="AD8" s="41">
        <f t="shared" si="4"/>
        <v>184</v>
      </c>
      <c r="AE8" s="42">
        <f>IFERROR(INDEX(V!$R:$R,MATCH(AF8,V!$L:$L,0)),"")</f>
        <v>96</v>
      </c>
      <c r="AF8" s="43" t="str">
        <f t="shared" si="5"/>
        <v>Andrei Grintšak</v>
      </c>
      <c r="AG8" s="42">
        <f>IFERROR(INDEX(V!$R:$R,MATCH(AH8,V!$L:$L,0)),"")</f>
        <v>88</v>
      </c>
      <c r="AH8" s="43" t="str">
        <f t="shared" si="6"/>
        <v>Enn Tokman</v>
      </c>
      <c r="AI8" s="42" t="str">
        <f>IFERROR(INDEX(V!$R:$R,MATCH(AJ8,V!$L:$L,0)),"")</f>
        <v/>
      </c>
      <c r="AJ8" s="43" t="str">
        <f t="shared" si="7"/>
        <v/>
      </c>
      <c r="AK8" s="42" t="str">
        <f>IFERROR(INDEX(V!$R:$R,MATCH(AL8,V!$L:$L,0)),"")</f>
        <v/>
      </c>
      <c r="AL8" s="43" t="str">
        <f t="shared" si="8"/>
        <v/>
      </c>
      <c r="AM8" s="42" t="str">
        <f>IFERROR(INDEX(V!$R:$R,MATCH(AN8,V!$L:$L,0)),"")</f>
        <v/>
      </c>
      <c r="AN8" s="43" t="str">
        <f t="shared" si="9"/>
        <v/>
      </c>
      <c r="AO8" s="42" t="str">
        <f>IFERROR(INDEX(V!$R:$R,MATCH(AP8,V!$L:$L,0)),"")</f>
        <v/>
      </c>
      <c r="AP8" s="43" t="str">
        <f t="shared" si="10"/>
        <v/>
      </c>
    </row>
    <row r="9" spans="1:42">
      <c r="A9" s="11">
        <v>3</v>
      </c>
      <c r="B9" s="17" t="s">
        <v>359</v>
      </c>
      <c r="C9" s="13">
        <v>13</v>
      </c>
      <c r="D9" s="14" t="s">
        <v>346</v>
      </c>
      <c r="E9" s="14">
        <v>4</v>
      </c>
      <c r="F9" s="15" t="s">
        <v>354</v>
      </c>
      <c r="G9" s="13">
        <v>11</v>
      </c>
      <c r="H9" s="14" t="s">
        <v>346</v>
      </c>
      <c r="I9" s="14">
        <v>10</v>
      </c>
      <c r="J9" s="15" t="s">
        <v>386</v>
      </c>
      <c r="K9" s="13">
        <v>13</v>
      </c>
      <c r="L9" s="14" t="s">
        <v>346</v>
      </c>
      <c r="M9" s="14">
        <v>7</v>
      </c>
      <c r="N9" s="15" t="s">
        <v>356</v>
      </c>
      <c r="O9" s="13">
        <v>2</v>
      </c>
      <c r="P9" s="14" t="s">
        <v>346</v>
      </c>
      <c r="Q9" s="14">
        <v>13</v>
      </c>
      <c r="R9" s="15" t="s">
        <v>384</v>
      </c>
      <c r="S9" s="13"/>
      <c r="T9" s="14"/>
      <c r="U9" s="14"/>
      <c r="V9" s="15"/>
      <c r="W9" s="28">
        <f t="shared" si="0"/>
        <v>3</v>
      </c>
      <c r="X9" s="29">
        <v>18</v>
      </c>
      <c r="Y9" s="29">
        <v>72</v>
      </c>
      <c r="Z9" s="13">
        <f t="shared" si="1"/>
        <v>39</v>
      </c>
      <c r="AA9" s="14" t="s">
        <v>346</v>
      </c>
      <c r="AB9" s="39">
        <f t="shared" si="2"/>
        <v>34</v>
      </c>
      <c r="AC9" s="40">
        <f t="shared" si="3"/>
        <v>5</v>
      </c>
      <c r="AD9" s="41">
        <f t="shared" si="4"/>
        <v>322</v>
      </c>
      <c r="AE9" s="42">
        <f>IFERROR(INDEX(V!$R:$R,MATCH(AF9,V!$L:$L,0)),"")</f>
        <v>146</v>
      </c>
      <c r="AF9" s="43" t="str">
        <f t="shared" si="5"/>
        <v>Kristel Tihhonjuk</v>
      </c>
      <c r="AG9" s="42">
        <f>IFERROR(INDEX(V!$R:$R,MATCH(AH9,V!$L:$L,0)),"")</f>
        <v>176</v>
      </c>
      <c r="AH9" s="43" t="str">
        <f t="shared" si="6"/>
        <v>Vadim Tihhonjuk</v>
      </c>
      <c r="AI9" s="42" t="str">
        <f>IFERROR(INDEX(V!$R:$R,MATCH(AJ9,V!$L:$L,0)),"")</f>
        <v/>
      </c>
      <c r="AJ9" s="43" t="str">
        <f t="shared" si="7"/>
        <v/>
      </c>
      <c r="AK9" s="42" t="str">
        <f>IFERROR(INDEX(V!$R:$R,MATCH(AL9,V!$L:$L,0)),"")</f>
        <v/>
      </c>
      <c r="AL9" s="43" t="str">
        <f t="shared" si="8"/>
        <v/>
      </c>
      <c r="AM9" s="42" t="str">
        <f>IFERROR(INDEX(V!$R:$R,MATCH(AN9,V!$L:$L,0)),"")</f>
        <v/>
      </c>
      <c r="AN9" s="43" t="str">
        <f t="shared" si="9"/>
        <v/>
      </c>
      <c r="AO9" s="42" t="str">
        <f>IFERROR(INDEX(V!$R:$R,MATCH(AP9,V!$L:$L,0)),"")</f>
        <v/>
      </c>
      <c r="AP9" s="43" t="str">
        <f t="shared" si="10"/>
        <v/>
      </c>
    </row>
    <row r="10" spans="1:42">
      <c r="A10" s="11">
        <v>4</v>
      </c>
      <c r="B10" s="17" t="s">
        <v>360</v>
      </c>
      <c r="C10" s="13">
        <v>11</v>
      </c>
      <c r="D10" s="14" t="s">
        <v>346</v>
      </c>
      <c r="E10" s="14">
        <v>13</v>
      </c>
      <c r="F10" s="15" t="s">
        <v>356</v>
      </c>
      <c r="G10" s="13">
        <v>13</v>
      </c>
      <c r="H10" s="14" t="s">
        <v>346</v>
      </c>
      <c r="I10" s="14">
        <v>4</v>
      </c>
      <c r="J10" s="15" t="s">
        <v>354</v>
      </c>
      <c r="K10" s="13">
        <v>13</v>
      </c>
      <c r="L10" s="14" t="s">
        <v>346</v>
      </c>
      <c r="M10" s="14">
        <v>6</v>
      </c>
      <c r="N10" s="15" t="s">
        <v>385</v>
      </c>
      <c r="O10" s="13">
        <v>13</v>
      </c>
      <c r="P10" s="14" t="s">
        <v>346</v>
      </c>
      <c r="Q10" s="14">
        <v>9</v>
      </c>
      <c r="R10" s="15" t="s">
        <v>375</v>
      </c>
      <c r="S10" s="13"/>
      <c r="T10" s="14"/>
      <c r="U10" s="14"/>
      <c r="V10" s="15"/>
      <c r="W10" s="28">
        <f t="shared" si="0"/>
        <v>3</v>
      </c>
      <c r="X10" s="29">
        <v>14</v>
      </c>
      <c r="Y10" s="29">
        <v>76</v>
      </c>
      <c r="Z10" s="13">
        <f t="shared" si="1"/>
        <v>50</v>
      </c>
      <c r="AA10" s="14" t="s">
        <v>346</v>
      </c>
      <c r="AB10" s="39">
        <f t="shared" si="2"/>
        <v>32</v>
      </c>
      <c r="AC10" s="40">
        <f t="shared" si="3"/>
        <v>18</v>
      </c>
      <c r="AD10" s="41">
        <f t="shared" si="4"/>
        <v>292</v>
      </c>
      <c r="AE10" s="42">
        <f>IFERROR(INDEX(V!$R:$R,MATCH(AF10,V!$L:$L,0)),"")</f>
        <v>146</v>
      </c>
      <c r="AF10" s="43" t="str">
        <f t="shared" si="5"/>
        <v>Meelis Luud</v>
      </c>
      <c r="AG10" s="42">
        <f>IFERROR(INDEX(V!$R:$R,MATCH(AH10,V!$L:$L,0)),"")</f>
        <v>146</v>
      </c>
      <c r="AH10" s="43" t="str">
        <f t="shared" si="6"/>
        <v>Sander Rose</v>
      </c>
      <c r="AI10" s="42" t="str">
        <f>IFERROR(INDEX(V!$R:$R,MATCH(AJ10,V!$L:$L,0)),"")</f>
        <v/>
      </c>
      <c r="AJ10" s="43" t="str">
        <f t="shared" si="7"/>
        <v/>
      </c>
      <c r="AK10" s="42" t="str">
        <f>IFERROR(INDEX(V!$R:$R,MATCH(AL10,V!$L:$L,0)),"")</f>
        <v/>
      </c>
      <c r="AL10" s="43" t="str">
        <f t="shared" si="8"/>
        <v/>
      </c>
      <c r="AM10" s="42" t="str">
        <f>IFERROR(INDEX(V!$R:$R,MATCH(AN10,V!$L:$L,0)),"")</f>
        <v/>
      </c>
      <c r="AN10" s="43" t="str">
        <f t="shared" si="9"/>
        <v/>
      </c>
      <c r="AO10" s="42" t="str">
        <f>IFERROR(INDEX(V!$R:$R,MATCH(AP10,V!$L:$L,0)),"")</f>
        <v/>
      </c>
      <c r="AP10" s="43" t="str">
        <f t="shared" si="10"/>
        <v/>
      </c>
    </row>
    <row r="11" spans="1:42">
      <c r="A11" s="11">
        <v>5</v>
      </c>
      <c r="B11" s="16" t="s">
        <v>385</v>
      </c>
      <c r="C11" s="13">
        <v>13</v>
      </c>
      <c r="D11" s="14" t="s">
        <v>346</v>
      </c>
      <c r="E11" s="14">
        <v>4</v>
      </c>
      <c r="F11" s="15" t="s">
        <v>353</v>
      </c>
      <c r="G11" s="13">
        <v>10</v>
      </c>
      <c r="H11" s="14" t="s">
        <v>346</v>
      </c>
      <c r="I11" s="14">
        <v>13</v>
      </c>
      <c r="J11" s="15" t="s">
        <v>384</v>
      </c>
      <c r="K11" s="13">
        <v>6</v>
      </c>
      <c r="L11" s="14" t="s">
        <v>346</v>
      </c>
      <c r="M11" s="14">
        <v>13</v>
      </c>
      <c r="N11" s="15" t="s">
        <v>360</v>
      </c>
      <c r="O11" s="13">
        <v>13</v>
      </c>
      <c r="P11" s="14" t="s">
        <v>346</v>
      </c>
      <c r="Q11" s="14">
        <v>9</v>
      </c>
      <c r="R11" s="15" t="s">
        <v>349</v>
      </c>
      <c r="S11" s="13"/>
      <c r="T11" s="14"/>
      <c r="U11" s="14"/>
      <c r="V11" s="15"/>
      <c r="W11" s="28">
        <f t="shared" si="0"/>
        <v>2</v>
      </c>
      <c r="X11" s="29">
        <v>20</v>
      </c>
      <c r="Y11" s="29">
        <v>62</v>
      </c>
      <c r="Z11" s="13">
        <f t="shared" si="1"/>
        <v>42</v>
      </c>
      <c r="AA11" s="14" t="s">
        <v>346</v>
      </c>
      <c r="AB11" s="39">
        <f t="shared" si="2"/>
        <v>39</v>
      </c>
      <c r="AC11" s="40">
        <f t="shared" si="3"/>
        <v>3</v>
      </c>
      <c r="AD11" s="41">
        <f t="shared" ref="AD11:AD13" si="11">SUM(AE11:AL11)</f>
        <v>248</v>
      </c>
      <c r="AE11" s="42">
        <f>IFERROR(INDEX(V!$R:$R,MATCH(AF11,V!$L:$L,0)),"")</f>
        <v>148</v>
      </c>
      <c r="AF11" s="43" t="str">
        <f t="shared" si="5"/>
        <v>Olav Türk</v>
      </c>
      <c r="AG11" s="42">
        <f>IFERROR(INDEX(V!$R:$R,MATCH(AH11,V!$L:$L,0)),"")</f>
        <v>100</v>
      </c>
      <c r="AH11" s="43" t="str">
        <f t="shared" si="6"/>
        <v>Urmas Jõeäär</v>
      </c>
      <c r="AI11" s="42" t="str">
        <f>IFERROR(INDEX(V!$R:$R,MATCH(AJ11,V!$L:$L,0)),"")</f>
        <v/>
      </c>
      <c r="AJ11" s="43" t="str">
        <f t="shared" si="7"/>
        <v/>
      </c>
      <c r="AK11" s="42" t="str">
        <f>IFERROR(INDEX(V!$R:$R,MATCH(AL11,V!$L:$L,0)),"")</f>
        <v/>
      </c>
      <c r="AL11" s="43" t="str">
        <f t="shared" si="8"/>
        <v/>
      </c>
      <c r="AM11" s="42" t="str">
        <f>IFERROR(INDEX(V!$R:$R,MATCH(AN11,V!$L:$L,0)),"")</f>
        <v/>
      </c>
      <c r="AN11" s="43" t="str">
        <f t="shared" si="9"/>
        <v/>
      </c>
      <c r="AO11" s="42" t="str">
        <f>IFERROR(INDEX(V!$R:$R,MATCH(AP11,V!$L:$L,0)),"")</f>
        <v/>
      </c>
      <c r="AP11" s="43" t="str">
        <f t="shared" si="10"/>
        <v/>
      </c>
    </row>
    <row r="12" spans="1:42">
      <c r="A12" s="11">
        <v>6</v>
      </c>
      <c r="B12" s="17" t="s">
        <v>356</v>
      </c>
      <c r="C12" s="13">
        <v>13</v>
      </c>
      <c r="D12" s="14" t="s">
        <v>346</v>
      </c>
      <c r="E12" s="14">
        <v>11</v>
      </c>
      <c r="F12" s="15" t="s">
        <v>360</v>
      </c>
      <c r="G12" s="13">
        <v>11</v>
      </c>
      <c r="H12" s="14" t="s">
        <v>346</v>
      </c>
      <c r="I12" s="14">
        <v>8</v>
      </c>
      <c r="J12" s="15" t="s">
        <v>366</v>
      </c>
      <c r="K12" s="13">
        <v>7</v>
      </c>
      <c r="L12" s="14" t="s">
        <v>346</v>
      </c>
      <c r="M12" s="14">
        <v>13</v>
      </c>
      <c r="N12" s="15" t="s">
        <v>359</v>
      </c>
      <c r="O12" s="13">
        <v>5</v>
      </c>
      <c r="P12" s="14" t="s">
        <v>346</v>
      </c>
      <c r="Q12" s="14">
        <v>13</v>
      </c>
      <c r="R12" s="15" t="s">
        <v>363</v>
      </c>
      <c r="S12" s="13"/>
      <c r="T12" s="14"/>
      <c r="U12" s="14"/>
      <c r="V12" s="15"/>
      <c r="W12" s="28">
        <f t="shared" si="0"/>
        <v>2</v>
      </c>
      <c r="X12" s="29">
        <v>20</v>
      </c>
      <c r="Y12" s="29">
        <v>62</v>
      </c>
      <c r="Z12" s="13">
        <f t="shared" si="1"/>
        <v>36</v>
      </c>
      <c r="AA12" s="14" t="s">
        <v>346</v>
      </c>
      <c r="AB12" s="39">
        <f t="shared" si="2"/>
        <v>45</v>
      </c>
      <c r="AC12" s="40">
        <f t="shared" si="3"/>
        <v>-9</v>
      </c>
      <c r="AD12" s="41">
        <f t="shared" si="11"/>
        <v>140</v>
      </c>
      <c r="AE12" s="42">
        <f>IFERROR(INDEX(V!$R:$R,MATCH(AF12,V!$L:$L,0)),"")</f>
        <v>70</v>
      </c>
      <c r="AF12" s="43" t="str">
        <f t="shared" si="5"/>
        <v>Ljudmila Varendi</v>
      </c>
      <c r="AG12" s="42">
        <f>IFERROR(INDEX(V!$R:$R,MATCH(AH12,V!$L:$L,0)),"")</f>
        <v>70</v>
      </c>
      <c r="AH12" s="43" t="str">
        <f t="shared" si="6"/>
        <v>Viktor Švarõgin</v>
      </c>
      <c r="AI12" s="42" t="str">
        <f>IFERROR(INDEX(V!$R:$R,MATCH(AJ12,V!$L:$L,0)),"")</f>
        <v/>
      </c>
      <c r="AJ12" s="43" t="str">
        <f t="shared" si="7"/>
        <v/>
      </c>
      <c r="AK12" s="42" t="str">
        <f>IFERROR(INDEX(V!$R:$R,MATCH(AL12,V!$L:$L,0)),"")</f>
        <v/>
      </c>
      <c r="AL12" s="43" t="str">
        <f t="shared" si="8"/>
        <v/>
      </c>
      <c r="AM12" s="42" t="str">
        <f>IFERROR(INDEX(V!$R:$R,MATCH(AN12,V!$L:$L,0)),"")</f>
        <v/>
      </c>
      <c r="AN12" s="43" t="str">
        <f t="shared" si="9"/>
        <v/>
      </c>
      <c r="AO12" s="42" t="str">
        <f>IFERROR(INDEX(V!$R:$R,MATCH(AP12,V!$L:$L,0)),"")</f>
        <v/>
      </c>
      <c r="AP12" s="43" t="str">
        <f t="shared" si="10"/>
        <v/>
      </c>
    </row>
    <row r="13" spans="1:42">
      <c r="A13" s="11">
        <v>7</v>
      </c>
      <c r="B13" s="18" t="s">
        <v>375</v>
      </c>
      <c r="C13" s="13">
        <v>4</v>
      </c>
      <c r="D13" s="14" t="s">
        <v>346</v>
      </c>
      <c r="E13" s="14">
        <v>13</v>
      </c>
      <c r="F13" s="15" t="s">
        <v>363</v>
      </c>
      <c r="G13" s="13">
        <v>13</v>
      </c>
      <c r="H13" s="14" t="s">
        <v>346</v>
      </c>
      <c r="I13" s="14">
        <v>6</v>
      </c>
      <c r="J13" s="15" t="s">
        <v>353</v>
      </c>
      <c r="K13" s="13">
        <v>12</v>
      </c>
      <c r="L13" s="14" t="s">
        <v>346</v>
      </c>
      <c r="M13" s="14">
        <v>6</v>
      </c>
      <c r="N13" s="15" t="s">
        <v>386</v>
      </c>
      <c r="O13" s="13">
        <v>9</v>
      </c>
      <c r="P13" s="14" t="s">
        <v>346</v>
      </c>
      <c r="Q13" s="14">
        <v>13</v>
      </c>
      <c r="R13" s="15" t="s">
        <v>360</v>
      </c>
      <c r="S13" s="13"/>
      <c r="T13" s="14"/>
      <c r="U13" s="14"/>
      <c r="V13" s="15"/>
      <c r="W13" s="28">
        <f t="shared" si="0"/>
        <v>2</v>
      </c>
      <c r="X13" s="29">
        <v>18</v>
      </c>
      <c r="Y13" s="29">
        <v>60</v>
      </c>
      <c r="Z13" s="13">
        <f t="shared" si="1"/>
        <v>38</v>
      </c>
      <c r="AA13" s="14" t="s">
        <v>346</v>
      </c>
      <c r="AB13" s="39">
        <f t="shared" si="2"/>
        <v>38</v>
      </c>
      <c r="AC13" s="40">
        <f t="shared" si="3"/>
        <v>0</v>
      </c>
      <c r="AD13" s="41">
        <f t="shared" si="11"/>
        <v>158</v>
      </c>
      <c r="AE13" s="42">
        <f>IFERROR(INDEX(V!$R:$R,MATCH(AF13,V!$L:$L,0)),"")</f>
        <v>98</v>
      </c>
      <c r="AF13" s="43" t="str">
        <f t="shared" si="5"/>
        <v>Marko Rooden</v>
      </c>
      <c r="AG13" s="42">
        <f>IFERROR(INDEX(V!$R:$R,MATCH(AH13,V!$L:$L,0)),"")</f>
        <v>60</v>
      </c>
      <c r="AH13" s="43" t="str">
        <f t="shared" si="6"/>
        <v>Martin Kuusmann</v>
      </c>
      <c r="AI13" s="42" t="str">
        <f>IFERROR(INDEX(V!$R:$R,MATCH(AJ13,V!$L:$L,0)),"")</f>
        <v/>
      </c>
      <c r="AJ13" s="43" t="str">
        <f t="shared" si="7"/>
        <v/>
      </c>
      <c r="AK13" s="42" t="str">
        <f>IFERROR(INDEX(V!$R:$R,MATCH(AL13,V!$L:$L,0)),"")</f>
        <v/>
      </c>
      <c r="AL13" s="43" t="str">
        <f t="shared" si="8"/>
        <v/>
      </c>
      <c r="AM13" s="42" t="str">
        <f>IFERROR(INDEX(V!$R:$R,MATCH(AN13,V!$L:$L,0)),"")</f>
        <v/>
      </c>
      <c r="AN13" s="43" t="str">
        <f t="shared" si="9"/>
        <v/>
      </c>
      <c r="AO13" s="42" t="str">
        <f>IFERROR(INDEX(V!$R:$R,MATCH(AP13,V!$L:$L,0)),"")</f>
        <v/>
      </c>
      <c r="AP13" s="43" t="str">
        <f t="shared" si="10"/>
        <v/>
      </c>
    </row>
    <row r="14" spans="1:42">
      <c r="A14" s="11">
        <v>8</v>
      </c>
      <c r="B14" s="18" t="s">
        <v>349</v>
      </c>
      <c r="C14" s="13">
        <v>2</v>
      </c>
      <c r="D14" s="14" t="s">
        <v>346</v>
      </c>
      <c r="E14" s="14">
        <v>13</v>
      </c>
      <c r="F14" s="15" t="s">
        <v>384</v>
      </c>
      <c r="G14" s="13">
        <v>13</v>
      </c>
      <c r="H14" s="14" t="s">
        <v>346</v>
      </c>
      <c r="I14" s="14">
        <v>7</v>
      </c>
      <c r="J14" s="15" t="s">
        <v>367</v>
      </c>
      <c r="K14" s="13">
        <v>13</v>
      </c>
      <c r="L14" s="14" t="s">
        <v>346</v>
      </c>
      <c r="M14" s="14">
        <v>7</v>
      </c>
      <c r="N14" s="15" t="s">
        <v>347</v>
      </c>
      <c r="O14" s="13">
        <v>9</v>
      </c>
      <c r="P14" s="14" t="s">
        <v>346</v>
      </c>
      <c r="Q14" s="14">
        <v>13</v>
      </c>
      <c r="R14" s="15" t="s">
        <v>385</v>
      </c>
      <c r="S14" s="13"/>
      <c r="T14" s="14"/>
      <c r="U14" s="14"/>
      <c r="V14" s="15"/>
      <c r="W14" s="28">
        <f t="shared" si="0"/>
        <v>2</v>
      </c>
      <c r="X14" s="29">
        <v>16</v>
      </c>
      <c r="Y14" s="29">
        <v>52</v>
      </c>
      <c r="Z14" s="13">
        <f t="shared" si="1"/>
        <v>37</v>
      </c>
      <c r="AA14" s="14" t="s">
        <v>346</v>
      </c>
      <c r="AB14" s="39">
        <f t="shared" si="2"/>
        <v>40</v>
      </c>
      <c r="AC14" s="40">
        <f t="shared" si="3"/>
        <v>-3</v>
      </c>
      <c r="AD14" s="41">
        <f t="shared" ref="AD14:AD15" si="12">SUM(AE14:AL14)</f>
        <v>186</v>
      </c>
      <c r="AE14" s="42">
        <f>IFERROR(INDEX(V!$R:$R,MATCH(AF14,V!$L:$L,0)),"")</f>
        <v>104</v>
      </c>
      <c r="AF14" s="43" t="str">
        <f t="shared" si="5"/>
        <v>Andres Veski</v>
      </c>
      <c r="AG14" s="42">
        <f>IFERROR(INDEX(V!$R:$R,MATCH(AH14,V!$L:$L,0)),"")</f>
        <v>82</v>
      </c>
      <c r="AH14" s="43" t="str">
        <f t="shared" si="6"/>
        <v>Svetlana Veski</v>
      </c>
      <c r="AI14" s="42" t="str">
        <f>IFERROR(INDEX(V!$R:$R,MATCH(AJ14,V!$L:$L,0)),"")</f>
        <v/>
      </c>
      <c r="AJ14" s="43" t="str">
        <f t="shared" si="7"/>
        <v/>
      </c>
      <c r="AK14" s="42" t="str">
        <f>IFERROR(INDEX(V!$R:$R,MATCH(AL14,V!$L:$L,0)),"")</f>
        <v/>
      </c>
      <c r="AL14" s="43" t="str">
        <f t="shared" si="8"/>
        <v/>
      </c>
      <c r="AM14" s="42" t="str">
        <f>IFERROR(INDEX(V!$R:$R,MATCH(AN14,V!$L:$L,0)),"")</f>
        <v/>
      </c>
      <c r="AN14" s="43" t="str">
        <f t="shared" si="9"/>
        <v/>
      </c>
      <c r="AO14" s="42" t="str">
        <f>IFERROR(INDEX(V!$R:$R,MATCH(AP14,V!$L:$L,0)),"")</f>
        <v/>
      </c>
      <c r="AP14" s="43" t="str">
        <f t="shared" si="10"/>
        <v/>
      </c>
    </row>
    <row r="15" spans="1:42">
      <c r="A15" s="11">
        <v>9</v>
      </c>
      <c r="B15" s="17" t="s">
        <v>386</v>
      </c>
      <c r="C15" s="13">
        <v>13</v>
      </c>
      <c r="D15" s="14" t="s">
        <v>346</v>
      </c>
      <c r="E15" s="14">
        <v>7</v>
      </c>
      <c r="F15" s="15" t="s">
        <v>366</v>
      </c>
      <c r="G15" s="13">
        <v>10</v>
      </c>
      <c r="H15" s="14" t="s">
        <v>346</v>
      </c>
      <c r="I15" s="14">
        <v>11</v>
      </c>
      <c r="J15" s="15" t="s">
        <v>359</v>
      </c>
      <c r="K15" s="13">
        <v>6</v>
      </c>
      <c r="L15" s="14" t="s">
        <v>346</v>
      </c>
      <c r="M15" s="14">
        <v>12</v>
      </c>
      <c r="N15" s="15" t="s">
        <v>375</v>
      </c>
      <c r="O15" s="13">
        <v>10</v>
      </c>
      <c r="P15" s="14" t="s">
        <v>346</v>
      </c>
      <c r="Q15" s="14">
        <v>9</v>
      </c>
      <c r="R15" s="15" t="s">
        <v>354</v>
      </c>
      <c r="S15" s="13"/>
      <c r="T15" s="14"/>
      <c r="U15" s="14"/>
      <c r="V15" s="15"/>
      <c r="W15" s="28">
        <f t="shared" si="0"/>
        <v>2</v>
      </c>
      <c r="X15" s="29">
        <v>14</v>
      </c>
      <c r="Y15" s="29">
        <v>64</v>
      </c>
      <c r="Z15" s="13">
        <f t="shared" si="1"/>
        <v>39</v>
      </c>
      <c r="AA15" s="14" t="s">
        <v>346</v>
      </c>
      <c r="AB15" s="39">
        <f t="shared" si="2"/>
        <v>39</v>
      </c>
      <c r="AC15" s="40">
        <f t="shared" si="3"/>
        <v>0</v>
      </c>
      <c r="AD15" s="41">
        <f t="shared" si="12"/>
        <v>148</v>
      </c>
      <c r="AE15" s="42">
        <f>IFERROR(INDEX(V!$R:$R,MATCH(AF15,V!$L:$L,0)),"")</f>
        <v>70</v>
      </c>
      <c r="AF15" s="43" t="str">
        <f t="shared" si="5"/>
        <v>Melika Lehtla</v>
      </c>
      <c r="AG15" s="42">
        <f>IFERROR(INDEX(V!$R:$R,MATCH(AH15,V!$L:$L,0)),"")</f>
        <v>78</v>
      </c>
      <c r="AH15" s="43" t="str">
        <f t="shared" si="6"/>
        <v>Väino Aul</v>
      </c>
      <c r="AI15" s="42" t="str">
        <f>IFERROR(INDEX(V!$R:$R,MATCH(AJ15,V!$L:$L,0)),"")</f>
        <v/>
      </c>
      <c r="AJ15" s="43" t="str">
        <f t="shared" si="7"/>
        <v/>
      </c>
      <c r="AK15" s="42" t="str">
        <f>IFERROR(INDEX(V!$R:$R,MATCH(AL15,V!$L:$L,0)),"")</f>
        <v/>
      </c>
      <c r="AL15" s="43" t="str">
        <f t="shared" si="8"/>
        <v/>
      </c>
      <c r="AM15" s="42" t="str">
        <f>IFERROR(INDEX(V!$R:$R,MATCH(AN15,V!$L:$L,0)),"")</f>
        <v/>
      </c>
      <c r="AN15" s="43" t="str">
        <f t="shared" si="9"/>
        <v/>
      </c>
      <c r="AO15" s="42" t="str">
        <f>IFERROR(INDEX(V!$R:$R,MATCH(AP15,V!$L:$L,0)),"")</f>
        <v/>
      </c>
      <c r="AP15" s="43" t="str">
        <f t="shared" si="10"/>
        <v/>
      </c>
    </row>
    <row r="16" spans="1:42">
      <c r="A16" s="11">
        <v>10</v>
      </c>
      <c r="B16" s="18" t="s">
        <v>347</v>
      </c>
      <c r="C16" s="13">
        <v>13</v>
      </c>
      <c r="D16" s="14" t="s">
        <v>346</v>
      </c>
      <c r="E16" s="14">
        <v>7</v>
      </c>
      <c r="F16" s="15" t="s">
        <v>367</v>
      </c>
      <c r="G16" s="13">
        <v>11</v>
      </c>
      <c r="H16" s="14" t="s">
        <v>346</v>
      </c>
      <c r="I16" s="14">
        <v>13</v>
      </c>
      <c r="J16" s="15" t="s">
        <v>363</v>
      </c>
      <c r="K16" s="13">
        <v>7</v>
      </c>
      <c r="L16" s="14" t="s">
        <v>346</v>
      </c>
      <c r="M16" s="14">
        <v>13</v>
      </c>
      <c r="N16" s="15" t="s">
        <v>349</v>
      </c>
      <c r="O16" s="13">
        <v>13</v>
      </c>
      <c r="P16" s="14" t="s">
        <v>346</v>
      </c>
      <c r="Q16" s="14">
        <v>6</v>
      </c>
      <c r="R16" s="15" t="s">
        <v>353</v>
      </c>
      <c r="S16" s="13"/>
      <c r="T16" s="14"/>
      <c r="U16" s="14"/>
      <c r="V16" s="15"/>
      <c r="W16" s="28">
        <f t="shared" si="0"/>
        <v>2</v>
      </c>
      <c r="X16" s="29">
        <v>12</v>
      </c>
      <c r="Y16" s="29">
        <v>48</v>
      </c>
      <c r="Z16" s="13">
        <f t="shared" si="1"/>
        <v>44</v>
      </c>
      <c r="AA16" s="14" t="s">
        <v>346</v>
      </c>
      <c r="AB16" s="39">
        <f t="shared" si="2"/>
        <v>39</v>
      </c>
      <c r="AC16" s="40">
        <f t="shared" si="3"/>
        <v>5</v>
      </c>
      <c r="AD16" s="41">
        <f t="shared" ref="AD16:AD19" si="13">SUM(AE16:AL16)</f>
        <v>96</v>
      </c>
      <c r="AE16" s="42">
        <f>IFERROR(INDEX(V!$R:$R,MATCH(AF16,V!$L:$L,0)),"")</f>
        <v>62</v>
      </c>
      <c r="AF16" s="43" t="str">
        <f t="shared" si="5"/>
        <v>Johannes Neiland</v>
      </c>
      <c r="AG16" s="42">
        <f>IFERROR(INDEX(V!$R:$R,MATCH(AH16,V!$L:$L,0)),"")</f>
        <v>34</v>
      </c>
      <c r="AH16" s="43" t="str">
        <f t="shared" si="6"/>
        <v>Urmas Randlaine</v>
      </c>
      <c r="AI16" s="42" t="str">
        <f>IFERROR(INDEX(V!$R:$R,MATCH(AJ16,V!$L:$L,0)),"")</f>
        <v/>
      </c>
      <c r="AJ16" s="43" t="str">
        <f t="shared" si="7"/>
        <v/>
      </c>
      <c r="AK16" s="42" t="str">
        <f>IFERROR(INDEX(V!$R:$R,MATCH(AL16,V!$L:$L,0)),"")</f>
        <v/>
      </c>
      <c r="AL16" s="43" t="str">
        <f t="shared" si="8"/>
        <v/>
      </c>
      <c r="AM16" s="42" t="str">
        <f>IFERROR(INDEX(V!$R:$R,MATCH(AN16,V!$L:$L,0)),"")</f>
        <v/>
      </c>
      <c r="AN16" s="43" t="str">
        <f t="shared" si="9"/>
        <v/>
      </c>
      <c r="AO16" s="42" t="str">
        <f>IFERROR(INDEX(V!$R:$R,MATCH(AP16,V!$L:$L,0)),"")</f>
        <v/>
      </c>
      <c r="AP16" s="43" t="str">
        <f t="shared" si="10"/>
        <v/>
      </c>
    </row>
    <row r="17" spans="1:42">
      <c r="A17" s="11">
        <v>11</v>
      </c>
      <c r="B17" s="17" t="s">
        <v>354</v>
      </c>
      <c r="C17" s="13">
        <v>4</v>
      </c>
      <c r="D17" s="14" t="s">
        <v>346</v>
      </c>
      <c r="E17" s="14">
        <v>13</v>
      </c>
      <c r="F17" s="15" t="s">
        <v>359</v>
      </c>
      <c r="G17" s="13">
        <v>4</v>
      </c>
      <c r="H17" s="14" t="s">
        <v>346</v>
      </c>
      <c r="I17" s="14">
        <v>13</v>
      </c>
      <c r="J17" s="15" t="s">
        <v>360</v>
      </c>
      <c r="K17" s="13">
        <v>13</v>
      </c>
      <c r="L17" s="14" t="s">
        <v>346</v>
      </c>
      <c r="M17" s="14">
        <v>2</v>
      </c>
      <c r="N17" s="15" t="s">
        <v>366</v>
      </c>
      <c r="O17" s="13">
        <v>9</v>
      </c>
      <c r="P17" s="14" t="s">
        <v>346</v>
      </c>
      <c r="Q17" s="14">
        <v>10</v>
      </c>
      <c r="R17" s="15" t="s">
        <v>386</v>
      </c>
      <c r="S17" s="13"/>
      <c r="T17" s="14"/>
      <c r="U17" s="14"/>
      <c r="V17" s="15"/>
      <c r="W17" s="28">
        <f t="shared" si="0"/>
        <v>1</v>
      </c>
      <c r="X17" s="29">
        <v>18</v>
      </c>
      <c r="Y17" s="29">
        <v>56</v>
      </c>
      <c r="Z17" s="13">
        <f t="shared" si="1"/>
        <v>30</v>
      </c>
      <c r="AA17" s="14" t="s">
        <v>346</v>
      </c>
      <c r="AB17" s="39">
        <f t="shared" si="2"/>
        <v>38</v>
      </c>
      <c r="AC17" s="40">
        <f t="shared" si="3"/>
        <v>-8</v>
      </c>
      <c r="AD17" s="41">
        <f t="shared" si="13"/>
        <v>80</v>
      </c>
      <c r="AE17" s="42">
        <f>IFERROR(INDEX(V!$R:$R,MATCH(AF17,V!$L:$L,0)),"")</f>
        <v>30</v>
      </c>
      <c r="AF17" s="43" t="str">
        <f t="shared" si="5"/>
        <v>Lemmit Toomra</v>
      </c>
      <c r="AG17" s="42">
        <f>IFERROR(INDEX(V!$R:$R,MATCH(AH17,V!$L:$L,0)),"")</f>
        <v>50</v>
      </c>
      <c r="AH17" s="43" t="str">
        <f t="shared" si="6"/>
        <v>Tõnu Kapper</v>
      </c>
      <c r="AI17" s="42" t="str">
        <f>IFERROR(INDEX(V!$R:$R,MATCH(AJ17,V!$L:$L,0)),"")</f>
        <v/>
      </c>
      <c r="AJ17" s="43" t="str">
        <f t="shared" si="7"/>
        <v/>
      </c>
      <c r="AK17" s="42" t="str">
        <f>IFERROR(INDEX(V!$R:$R,MATCH(AL17,V!$L:$L,0)),"")</f>
        <v/>
      </c>
      <c r="AL17" s="43" t="str">
        <f t="shared" si="8"/>
        <v/>
      </c>
      <c r="AM17" s="42" t="str">
        <f>IFERROR(INDEX(V!$R:$R,MATCH(AN17,V!$L:$L,0)),"")</f>
        <v/>
      </c>
      <c r="AN17" s="43" t="str">
        <f t="shared" si="9"/>
        <v/>
      </c>
      <c r="AO17" s="42" t="str">
        <f>IFERROR(INDEX(V!$R:$R,MATCH(AP17,V!$L:$L,0)),"")</f>
        <v/>
      </c>
      <c r="AP17" s="43" t="str">
        <f t="shared" si="10"/>
        <v/>
      </c>
    </row>
    <row r="18" spans="1:42">
      <c r="A18" s="11">
        <v>12</v>
      </c>
      <c r="B18" s="18" t="s">
        <v>353</v>
      </c>
      <c r="C18" s="13">
        <v>4</v>
      </c>
      <c r="D18" s="14" t="s">
        <v>346</v>
      </c>
      <c r="E18" s="14">
        <v>13</v>
      </c>
      <c r="F18" s="15" t="s">
        <v>385</v>
      </c>
      <c r="G18" s="13">
        <v>6</v>
      </c>
      <c r="H18" s="14" t="s">
        <v>346</v>
      </c>
      <c r="I18" s="14">
        <v>13</v>
      </c>
      <c r="J18" s="15" t="s">
        <v>375</v>
      </c>
      <c r="K18" s="13">
        <v>13</v>
      </c>
      <c r="L18" s="14" t="s">
        <v>346</v>
      </c>
      <c r="M18" s="14">
        <v>7</v>
      </c>
      <c r="N18" s="15" t="s">
        <v>367</v>
      </c>
      <c r="O18" s="13">
        <v>6</v>
      </c>
      <c r="P18" s="14" t="s">
        <v>346</v>
      </c>
      <c r="Q18" s="14">
        <v>13</v>
      </c>
      <c r="R18" s="15" t="s">
        <v>347</v>
      </c>
      <c r="S18" s="13"/>
      <c r="T18" s="14"/>
      <c r="U18" s="14"/>
      <c r="V18" s="15"/>
      <c r="W18" s="28">
        <f t="shared" si="0"/>
        <v>1</v>
      </c>
      <c r="X18" s="29">
        <v>12</v>
      </c>
      <c r="Y18" s="29">
        <v>50</v>
      </c>
      <c r="Z18" s="13">
        <f t="shared" si="1"/>
        <v>29</v>
      </c>
      <c r="AA18" s="14" t="s">
        <v>346</v>
      </c>
      <c r="AB18" s="39">
        <f t="shared" si="2"/>
        <v>46</v>
      </c>
      <c r="AC18" s="40">
        <f t="shared" si="3"/>
        <v>-17</v>
      </c>
      <c r="AD18" s="41">
        <f t="shared" si="13"/>
        <v>74</v>
      </c>
      <c r="AE18" s="42">
        <f>IFERROR(INDEX(V!$R:$R,MATCH(AF18,V!$L:$L,0)),"")</f>
        <v>26</v>
      </c>
      <c r="AF18" s="43" t="str">
        <f t="shared" si="5"/>
        <v>Jaan Saar</v>
      </c>
      <c r="AG18" s="42">
        <f>IFERROR(INDEX(V!$R:$R,MATCH(AH18,V!$L:$L,0)),"")</f>
        <v>48</v>
      </c>
      <c r="AH18" s="43" t="str">
        <f t="shared" si="6"/>
        <v>Liidia Põllu</v>
      </c>
      <c r="AI18" s="42" t="str">
        <f>IFERROR(INDEX(V!$R:$R,MATCH(AJ18,V!$L:$L,0)),"")</f>
        <v/>
      </c>
      <c r="AJ18" s="43" t="str">
        <f t="shared" si="7"/>
        <v/>
      </c>
      <c r="AK18" s="42" t="str">
        <f>IFERROR(INDEX(V!$R:$R,MATCH(AL18,V!$L:$L,0)),"")</f>
        <v/>
      </c>
      <c r="AL18" s="43" t="str">
        <f t="shared" si="8"/>
        <v/>
      </c>
      <c r="AM18" s="42" t="str">
        <f>IFERROR(INDEX(V!$R:$R,MATCH(AN18,V!$L:$L,0)),"")</f>
        <v/>
      </c>
      <c r="AN18" s="43" t="str">
        <f t="shared" si="9"/>
        <v/>
      </c>
      <c r="AO18" s="42" t="str">
        <f>IFERROR(INDEX(V!$R:$R,MATCH(AP18,V!$L:$L,0)),"")</f>
        <v/>
      </c>
      <c r="AP18" s="43" t="str">
        <f t="shared" si="10"/>
        <v/>
      </c>
    </row>
    <row r="19" spans="1:42">
      <c r="A19" s="11">
        <v>13</v>
      </c>
      <c r="B19" s="17" t="s">
        <v>366</v>
      </c>
      <c r="C19" s="13">
        <v>7</v>
      </c>
      <c r="D19" s="14" t="s">
        <v>346</v>
      </c>
      <c r="E19" s="14">
        <v>13</v>
      </c>
      <c r="F19" s="15" t="s">
        <v>386</v>
      </c>
      <c r="G19" s="13">
        <v>8</v>
      </c>
      <c r="H19" s="14" t="s">
        <v>346</v>
      </c>
      <c r="I19" s="14">
        <v>11</v>
      </c>
      <c r="J19" s="15" t="s">
        <v>356</v>
      </c>
      <c r="K19" s="13">
        <v>2</v>
      </c>
      <c r="L19" s="14" t="s">
        <v>346</v>
      </c>
      <c r="M19" s="14">
        <v>13</v>
      </c>
      <c r="N19" s="15" t="s">
        <v>354</v>
      </c>
      <c r="O19" s="13">
        <v>13</v>
      </c>
      <c r="P19" s="14" t="s">
        <v>346</v>
      </c>
      <c r="Q19" s="14">
        <v>7</v>
      </c>
      <c r="R19" s="15" t="s">
        <v>367</v>
      </c>
      <c r="S19" s="13"/>
      <c r="T19" s="14"/>
      <c r="U19" s="14"/>
      <c r="V19" s="15"/>
      <c r="W19" s="28">
        <f t="shared" si="0"/>
        <v>1</v>
      </c>
      <c r="X19" s="29">
        <v>10</v>
      </c>
      <c r="Y19" s="29">
        <v>52</v>
      </c>
      <c r="Z19" s="13">
        <f t="shared" si="1"/>
        <v>30</v>
      </c>
      <c r="AA19" s="14" t="s">
        <v>346</v>
      </c>
      <c r="AB19" s="39">
        <f t="shared" si="2"/>
        <v>44</v>
      </c>
      <c r="AC19" s="40">
        <f t="shared" si="3"/>
        <v>-14</v>
      </c>
      <c r="AD19" s="41">
        <f t="shared" si="13"/>
        <v>136</v>
      </c>
      <c r="AE19" s="42">
        <f>IFERROR(INDEX(V!$R:$R,MATCH(AF19,V!$L:$L,0)),"")</f>
        <v>34</v>
      </c>
      <c r="AF19" s="43" t="str">
        <f t="shared" si="5"/>
        <v>Boriss Klubov</v>
      </c>
      <c r="AG19" s="42">
        <f>IFERROR(INDEX(V!$R:$R,MATCH(AH19,V!$L:$L,0)),"")</f>
        <v>102</v>
      </c>
      <c r="AH19" s="43" t="str">
        <f t="shared" si="6"/>
        <v>Elmo Lageda</v>
      </c>
      <c r="AI19" s="42" t="str">
        <f>IFERROR(INDEX(V!$R:$R,MATCH(AJ19,V!$L:$L,0)),"")</f>
        <v/>
      </c>
      <c r="AJ19" s="43" t="str">
        <f t="shared" si="7"/>
        <v/>
      </c>
      <c r="AK19" s="42" t="str">
        <f>IFERROR(INDEX(V!$R:$R,MATCH(AL19,V!$L:$L,0)),"")</f>
        <v/>
      </c>
      <c r="AL19" s="43" t="str">
        <f t="shared" si="8"/>
        <v/>
      </c>
      <c r="AM19" s="42" t="str">
        <f>IFERROR(INDEX(V!$R:$R,MATCH(AN19,V!$L:$L,0)),"")</f>
        <v/>
      </c>
      <c r="AN19" s="43" t="str">
        <f t="shared" si="9"/>
        <v/>
      </c>
      <c r="AO19" s="42" t="str">
        <f>IFERROR(INDEX(V!$R:$R,MATCH(AP19,V!$L:$L,0)),"")</f>
        <v/>
      </c>
      <c r="AP19" s="43" t="str">
        <f t="shared" si="10"/>
        <v/>
      </c>
    </row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  <row r="35" hidden="1"/>
    <row r="36" hidden="1"/>
    <row r="37" hidden="1"/>
    <row r="38" hidden="1"/>
    <row r="39" hidden="1"/>
    <row r="40" hidden="1"/>
    <row r="41" hidden="1"/>
    <row r="42" hidden="1"/>
    <row r="43" hidden="1"/>
    <row r="44" hidden="1"/>
    <row r="45" hidden="1"/>
    <row r="46" hidden="1"/>
    <row r="47" hidden="1"/>
    <row r="48" hidden="1"/>
    <row r="49" hidden="1"/>
    <row r="50" hidden="1"/>
    <row r="51" hidden="1"/>
    <row r="52" hidden="1"/>
    <row r="53" hidden="1"/>
    <row r="54" hidden="1"/>
    <row r="55" hidden="1"/>
    <row r="56" hidden="1"/>
    <row r="57" hidden="1"/>
    <row r="58" hidden="1"/>
    <row r="59" hidden="1"/>
    <row r="60" hidden="1"/>
    <row r="61" hidden="1"/>
    <row r="62" hidden="1"/>
    <row r="63" hidden="1"/>
    <row r="64" hidden="1"/>
    <row r="65" hidden="1"/>
    <row r="66" hidden="1"/>
    <row r="67" hidden="1"/>
    <row r="68" hidden="1"/>
    <row r="69" hidden="1"/>
    <row r="70" hidden="1"/>
    <row r="71" hidden="1"/>
    <row r="72" hidden="1"/>
    <row r="73" hidden="1"/>
    <row r="74" hidden="1"/>
    <row r="75" hidden="1"/>
    <row r="76" hidden="1"/>
    <row r="77" hidden="1"/>
    <row r="78" hidden="1"/>
    <row r="79" hidden="1"/>
    <row r="80" hidden="1"/>
    <row r="81" hidden="1"/>
    <row r="82" hidden="1"/>
    <row r="83" hidden="1"/>
    <row r="84" hidden="1"/>
    <row r="85" hidden="1"/>
    <row r="86" hidden="1"/>
    <row r="87" hidden="1"/>
    <row r="88" hidden="1"/>
    <row r="89" hidden="1"/>
    <row r="90" hidden="1"/>
    <row r="91" hidden="1"/>
    <row r="92" hidden="1"/>
    <row r="93" hidden="1"/>
    <row r="94" hidden="1"/>
    <row r="95" hidden="1"/>
    <row r="96" hidden="1"/>
    <row r="97" hidden="1"/>
    <row r="98" hidden="1"/>
    <row r="99" hidden="1"/>
    <row r="100" hidden="1"/>
    <row r="101" hidden="1"/>
    <row r="102" hidden="1"/>
    <row r="103" hidden="1"/>
    <row r="104" hidden="1"/>
    <row r="105" hidden="1"/>
    <row r="106" hidden="1"/>
    <row r="107" hidden="1"/>
    <row r="108" hidden="1"/>
    <row r="109" hidden="1"/>
    <row r="110" hidden="1"/>
    <row r="111" hidden="1"/>
    <row r="112" hidden="1"/>
    <row r="113" hidden="1"/>
    <row r="114" hidden="1"/>
    <row r="115" hidden="1"/>
    <row r="116" hidden="1"/>
    <row r="117" hidden="1"/>
    <row r="118" hidden="1"/>
    <row r="119" hidden="1"/>
    <row r="120" hidden="1"/>
    <row r="121" hidden="1"/>
    <row r="122" hidden="1"/>
    <row r="123" hidden="1"/>
    <row r="124" hidden="1"/>
    <row r="125" hidden="1"/>
    <row r="126" hidden="1"/>
    <row r="127" hidden="1"/>
    <row r="128" hidden="1"/>
    <row r="129" hidden="1"/>
    <row r="130" hidden="1"/>
    <row r="131" hidden="1"/>
    <row r="132" hidden="1"/>
    <row r="133" hidden="1"/>
    <row r="134" hidden="1"/>
    <row r="135" hidden="1"/>
    <row r="136" hidden="1"/>
    <row r="137" hidden="1"/>
    <row r="138" hidden="1"/>
    <row r="139" hidden="1"/>
    <row r="140" hidden="1"/>
    <row r="141" hidden="1"/>
    <row r="142" hidden="1"/>
    <row r="143" hidden="1"/>
    <row r="144" hidden="1"/>
    <row r="145" hidden="1"/>
    <row r="146" hidden="1"/>
    <row r="147" hidden="1"/>
    <row r="148" hidden="1"/>
    <row r="149" hidden="1"/>
    <row r="150" hidden="1"/>
    <row r="151" hidden="1"/>
    <row r="152" hidden="1"/>
    <row r="153" hidden="1"/>
    <row r="154" hidden="1"/>
    <row r="155" hidden="1"/>
    <row r="156" hidden="1"/>
    <row r="157" hidden="1"/>
    <row r="158" hidden="1"/>
    <row r="159" hidden="1"/>
    <row r="160" hidden="1"/>
    <row r="161" hidden="1"/>
    <row r="162" hidden="1"/>
    <row r="163" hidden="1"/>
    <row r="164" hidden="1"/>
    <row r="165" hidden="1"/>
    <row r="166" hidden="1"/>
    <row r="167" hidden="1"/>
    <row r="168" hidden="1"/>
    <row r="169" hidden="1"/>
    <row r="170" hidden="1"/>
    <row r="171" hidden="1"/>
    <row r="172" hidden="1"/>
    <row r="173" hidden="1"/>
    <row r="174" hidden="1"/>
    <row r="175" hidden="1"/>
    <row r="176" hidden="1"/>
    <row r="177" hidden="1"/>
    <row r="178" hidden="1"/>
    <row r="179" hidden="1"/>
    <row r="180" hidden="1"/>
    <row r="181" hidden="1"/>
    <row r="182" hidden="1"/>
    <row r="183" hidden="1"/>
    <row r="184" hidden="1"/>
    <row r="185" hidden="1"/>
    <row r="186" hidden="1"/>
    <row r="187" hidden="1"/>
    <row r="188" hidden="1"/>
    <row r="189" hidden="1"/>
    <row r="190" hidden="1"/>
    <row r="191" hidden="1"/>
    <row r="192" hidden="1"/>
    <row r="193" hidden="1"/>
    <row r="194" hidden="1"/>
    <row r="195" hidden="1"/>
    <row r="196" hidden="1"/>
    <row r="197" hidden="1"/>
    <row r="198" hidden="1"/>
    <row r="199" hidden="1"/>
    <row r="200" hidden="1"/>
    <row r="201" hidden="1"/>
    <row r="202" hidden="1"/>
    <row r="203" hidden="1"/>
    <row r="204" hidden="1"/>
    <row r="205" hidden="1"/>
    <row r="206" hidden="1"/>
    <row r="207" hidden="1"/>
    <row r="208" hidden="1"/>
    <row r="209" hidden="1"/>
    <row r="210" hidden="1"/>
    <row r="211" hidden="1"/>
    <row r="212" hidden="1"/>
    <row r="213" hidden="1"/>
    <row r="214" hidden="1"/>
    <row r="215" hidden="1"/>
    <row r="216" hidden="1"/>
    <row r="217" hidden="1"/>
    <row r="218" hidden="1"/>
    <row r="219" hidden="1"/>
    <row r="220" hidden="1"/>
    <row r="221" hidden="1"/>
    <row r="222" hidden="1"/>
    <row r="223" hidden="1"/>
    <row r="224" hidden="1"/>
    <row r="225" hidden="1"/>
    <row r="226" hidden="1"/>
    <row r="227" hidden="1"/>
    <row r="228" hidden="1"/>
    <row r="229" hidden="1"/>
    <row r="230" hidden="1"/>
    <row r="231" hidden="1"/>
    <row r="232" hidden="1"/>
    <row r="233" hidden="1"/>
    <row r="234" hidden="1"/>
    <row r="235" hidden="1"/>
    <row r="236" hidden="1"/>
    <row r="237" hidden="1"/>
    <row r="238" hidden="1"/>
    <row r="239" hidden="1"/>
    <row r="240" hidden="1"/>
    <row r="241" hidden="1"/>
    <row r="242" hidden="1"/>
    <row r="243" hidden="1"/>
    <row r="244" hidden="1"/>
    <row r="245" hidden="1"/>
    <row r="246" hidden="1"/>
    <row r="247" hidden="1"/>
    <row r="248" hidden="1"/>
    <row r="249" hidden="1"/>
    <row r="250" hidden="1"/>
    <row r="251" hidden="1"/>
    <row r="252" hidden="1"/>
    <row r="253" hidden="1"/>
    <row r="254" hidden="1"/>
    <row r="255" hidden="1"/>
    <row r="256" hidden="1"/>
    <row r="257" hidden="1"/>
    <row r="258" hidden="1"/>
    <row r="259" hidden="1"/>
    <row r="260" hidden="1"/>
    <row r="261" hidden="1"/>
    <row r="262" hidden="1"/>
    <row r="263" hidden="1"/>
    <row r="264" hidden="1"/>
    <row r="265" hidden="1"/>
    <row r="266" hidden="1"/>
    <row r="267" hidden="1"/>
    <row r="268" hidden="1"/>
    <row r="269" hidden="1"/>
    <row r="270" hidden="1"/>
    <row r="271" hidden="1"/>
    <row r="272" hidden="1"/>
    <row r="273" hidden="1"/>
    <row r="274" hidden="1"/>
    <row r="275" hidden="1"/>
    <row r="276" hidden="1"/>
    <row r="277" hidden="1"/>
    <row r="278" hidden="1"/>
    <row r="279" hidden="1"/>
    <row r="280" hidden="1"/>
    <row r="281" hidden="1"/>
    <row r="282" hidden="1"/>
    <row r="283" hidden="1"/>
    <row r="284" hidden="1"/>
    <row r="285" hidden="1"/>
    <row r="286" hidden="1"/>
    <row r="287" hidden="1"/>
    <row r="288" hidden="1"/>
    <row r="289" hidden="1"/>
    <row r="290" hidden="1"/>
    <row r="291" hidden="1"/>
    <row r="292" hidden="1"/>
    <row r="293" hidden="1"/>
    <row r="294" hidden="1"/>
    <row r="295" hidden="1"/>
    <row r="296" hidden="1"/>
    <row r="297" hidden="1"/>
    <row r="298" hidden="1"/>
    <row r="299" spans="1:6">
      <c r="A299" s="6"/>
      <c r="B299" s="6"/>
      <c r="C299" s="49" t="s">
        <v>368</v>
      </c>
      <c r="F299" s="50"/>
    </row>
    <row r="300" spans="1:6">
      <c r="A300" s="51">
        <v>1</v>
      </c>
      <c r="B300" s="52" t="str">
        <f t="shared" ref="B300:B312" si="14">IFERROR(INDEX(B$1:B$95,MATCH(A300,A$1:A$95,0)),"")</f>
        <v>Hillar Neiland, Tõnis Neiland</v>
      </c>
      <c r="C300" s="53">
        <f>LARGE(A300:A400,1)*2+2-A300*2</f>
        <v>26</v>
      </c>
      <c r="F300" s="50"/>
    </row>
    <row r="301" spans="1:6">
      <c r="A301" s="51">
        <v>2</v>
      </c>
      <c r="B301" s="52" t="str">
        <f t="shared" si="14"/>
        <v>Andrei Grintšak, Enn Tokman</v>
      </c>
      <c r="C301" s="53">
        <f t="shared" ref="C301:C312" si="15">LARGE(A301:A401,1)*2+2-A301*2</f>
        <v>24</v>
      </c>
      <c r="F301" s="50"/>
    </row>
    <row r="302" spans="1:6">
      <c r="A302" s="51">
        <v>3</v>
      </c>
      <c r="B302" s="52" t="str">
        <f t="shared" si="14"/>
        <v>Kristel Tihhonjuk, Vadim Tihhonjuk</v>
      </c>
      <c r="C302" s="53">
        <f t="shared" si="15"/>
        <v>22</v>
      </c>
      <c r="F302" s="50"/>
    </row>
    <row r="303" spans="1:6">
      <c r="A303" s="51">
        <v>4</v>
      </c>
      <c r="B303" s="52" t="str">
        <f t="shared" si="14"/>
        <v>Meelis Luud, Sander Rose</v>
      </c>
      <c r="C303" s="53">
        <f t="shared" si="15"/>
        <v>20</v>
      </c>
      <c r="F303" s="50"/>
    </row>
    <row r="304" spans="1:6">
      <c r="A304" s="51">
        <v>5</v>
      </c>
      <c r="B304" s="52" t="str">
        <f t="shared" si="14"/>
        <v>Olav Türk, Urmas Jõeäär</v>
      </c>
      <c r="C304" s="53">
        <f t="shared" si="15"/>
        <v>18</v>
      </c>
      <c r="F304" s="50"/>
    </row>
    <row r="305" spans="1:6">
      <c r="A305" s="51">
        <v>6</v>
      </c>
      <c r="B305" s="52" t="str">
        <f t="shared" si="14"/>
        <v>Ljudmila Varendi, Viktor Švarõgin</v>
      </c>
      <c r="C305" s="53">
        <f t="shared" si="15"/>
        <v>16</v>
      </c>
      <c r="F305" s="50"/>
    </row>
    <row r="306" spans="1:6">
      <c r="A306" s="51">
        <v>7</v>
      </c>
      <c r="B306" s="52" t="str">
        <f t="shared" si="14"/>
        <v>Marko Rooden, Martin Kuusmann</v>
      </c>
      <c r="C306" s="53">
        <f t="shared" si="15"/>
        <v>14</v>
      </c>
      <c r="F306" s="50"/>
    </row>
    <row r="307" spans="1:6">
      <c r="A307" s="51">
        <v>8</v>
      </c>
      <c r="B307" s="52" t="str">
        <f t="shared" si="14"/>
        <v>Andres Veski, Svetlana Veski</v>
      </c>
      <c r="C307" s="53">
        <f t="shared" si="15"/>
        <v>12</v>
      </c>
      <c r="F307" s="50"/>
    </row>
    <row r="308" spans="1:6">
      <c r="A308" s="51">
        <v>9</v>
      </c>
      <c r="B308" s="52" t="str">
        <f t="shared" si="14"/>
        <v>Melika Lehtla, Väino Aul</v>
      </c>
      <c r="C308" s="53">
        <f t="shared" si="15"/>
        <v>10</v>
      </c>
      <c r="F308" s="50"/>
    </row>
    <row r="309" spans="1:3">
      <c r="A309" s="51">
        <v>10</v>
      </c>
      <c r="B309" s="52" t="str">
        <f t="shared" si="14"/>
        <v>Johannes Neiland, Urmas Randlaine</v>
      </c>
      <c r="C309" s="53">
        <f t="shared" si="15"/>
        <v>8</v>
      </c>
    </row>
    <row r="310" spans="1:3">
      <c r="A310" s="51">
        <v>11</v>
      </c>
      <c r="B310" s="52" t="str">
        <f t="shared" si="14"/>
        <v>Lemmit Toomra, Tõnu Kapper</v>
      </c>
      <c r="C310" s="53">
        <f t="shared" si="15"/>
        <v>6</v>
      </c>
    </row>
    <row r="311" spans="1:3">
      <c r="A311" s="51">
        <v>12</v>
      </c>
      <c r="B311" s="52" t="str">
        <f t="shared" si="14"/>
        <v>Jaan Saar, Liidia Põllu</v>
      </c>
      <c r="C311" s="53">
        <f t="shared" si="15"/>
        <v>4</v>
      </c>
    </row>
    <row r="312" spans="1:3">
      <c r="A312" s="51">
        <v>13</v>
      </c>
      <c r="B312" s="52" t="str">
        <f t="shared" si="14"/>
        <v>Boriss Klubov, Elmo Lageda</v>
      </c>
      <c r="C312" s="53">
        <f t="shared" si="15"/>
        <v>2</v>
      </c>
    </row>
  </sheetData>
  <conditionalFormatting sqref="A7:A19">
    <cfRule type="duplicateValues" dxfId="17" priority="33"/>
  </conditionalFormatting>
  <conditionalFormatting sqref="B300:B312">
    <cfRule type="expression" dxfId="3" priority="39">
      <formula>A300=3</formula>
    </cfRule>
    <cfRule type="expression" dxfId="4" priority="40">
      <formula>A300=2</formula>
    </cfRule>
    <cfRule type="expression" dxfId="18" priority="41">
      <formula>A300=1</formula>
    </cfRule>
    <cfRule type="containsBlanks" dxfId="19" priority="42">
      <formula>LEN(TRIM(B300))=0</formula>
    </cfRule>
    <cfRule type="duplicateValues" dxfId="8" priority="43"/>
  </conditionalFormatting>
  <conditionalFormatting sqref="C7:C19">
    <cfRule type="expression" dxfId="20" priority="15">
      <formula>IF($C7&gt;$E7,TRUE)</formula>
    </cfRule>
  </conditionalFormatting>
  <conditionalFormatting sqref="E7:E19">
    <cfRule type="expression" dxfId="20" priority="16">
      <formula>IF($C7&lt;$E7,TRUE)</formula>
    </cfRule>
  </conditionalFormatting>
  <conditionalFormatting sqref="F7:F19">
    <cfRule type="containsText" dxfId="21" priority="6" operator="between" text="vaba voor">
      <formula>NOT(ISERROR(SEARCH("vaba voor",F7)))</formula>
    </cfRule>
  </conditionalFormatting>
  <conditionalFormatting sqref="G7:G19">
    <cfRule type="expression" dxfId="20" priority="19">
      <formula>IF($G7&gt;$I7,TRUE)</formula>
    </cfRule>
  </conditionalFormatting>
  <conditionalFormatting sqref="I7:I19">
    <cfRule type="expression" dxfId="20" priority="20">
      <formula>IF($G7&lt;$I7,TRUE)</formula>
    </cfRule>
  </conditionalFormatting>
  <conditionalFormatting sqref="J7:J19">
    <cfRule type="containsText" dxfId="21" priority="5" operator="between" text="vaba voor">
      <formula>NOT(ISERROR(SEARCH("vaba voor",J7)))</formula>
    </cfRule>
  </conditionalFormatting>
  <conditionalFormatting sqref="K7:K19">
    <cfRule type="expression" dxfId="20" priority="23">
      <formula>IF($K7&gt;$M7,TRUE)</formula>
    </cfRule>
  </conditionalFormatting>
  <conditionalFormatting sqref="M7:M19">
    <cfRule type="expression" dxfId="20" priority="24">
      <formula>IF($K7&lt;$M7,TRUE)</formula>
    </cfRule>
  </conditionalFormatting>
  <conditionalFormatting sqref="N7:N19">
    <cfRule type="containsText" dxfId="21" priority="4" operator="between" text="vaba voor">
      <formula>NOT(ISERROR(SEARCH("vaba voor",N7)))</formula>
    </cfRule>
  </conditionalFormatting>
  <conditionalFormatting sqref="O7:O19">
    <cfRule type="expression" dxfId="20" priority="27">
      <formula>IF($O7&gt;$Q7,TRUE)</formula>
    </cfRule>
  </conditionalFormatting>
  <conditionalFormatting sqref="Q7:Q19">
    <cfRule type="expression" dxfId="20" priority="28">
      <formula>IF($O7&lt;$Q7,TRUE)</formula>
    </cfRule>
  </conditionalFormatting>
  <conditionalFormatting sqref="R7:R19">
    <cfRule type="containsText" dxfId="21" priority="7" operator="between" text="vaba voor">
      <formula>NOT(ISERROR(SEARCH("vaba voor",R7)))</formula>
    </cfRule>
  </conditionalFormatting>
  <conditionalFormatting sqref="S7:S19">
    <cfRule type="expression" dxfId="20" priority="31">
      <formula>IF($S7&gt;$U7,TRUE)</formula>
    </cfRule>
  </conditionalFormatting>
  <conditionalFormatting sqref="U7:U19">
    <cfRule type="expression" dxfId="20" priority="32">
      <formula>IF($S7&lt;$U7,TRUE)</formula>
    </cfRule>
  </conditionalFormatting>
  <conditionalFormatting sqref="V7:V19">
    <cfRule type="containsText" dxfId="21" priority="3" operator="between" text="vaba voor">
      <formula>NOT(ISERROR(SEARCH("vaba voor",V7)))</formula>
    </cfRule>
  </conditionalFormatting>
  <conditionalFormatting sqref="AF7:AF19">
    <cfRule type="expression" dxfId="22" priority="37">
      <formula>AND(AE7="",COUNTIF(AF7,"*,*")=0)</formula>
    </cfRule>
  </conditionalFormatting>
  <conditionalFormatting sqref="C7:F19">
    <cfRule type="expression" dxfId="5" priority="11">
      <formula>IF(AND(ISNUMBER($C7),$C7=$E7),TRUE)</formula>
    </cfRule>
    <cfRule type="expression" dxfId="7" priority="13">
      <formula>IF($C7&gt;$E7,TRUE)</formula>
    </cfRule>
    <cfRule type="expression" dxfId="23" priority="14">
      <formula>IF($C7&lt;$E7,TRUE)</formula>
    </cfRule>
  </conditionalFormatting>
  <conditionalFormatting sqref="C7:C19;G7:G19;K7:K19;O7:O19;S7:S19">
    <cfRule type="expression" dxfId="24" priority="1">
      <formula>AND(C7=0,E7=13)</formula>
    </cfRule>
  </conditionalFormatting>
  <conditionalFormatting sqref="E7:E19;I7:I19;M7:M19;Q7:Q19;U7:U19">
    <cfRule type="expression" dxfId="24" priority="2">
      <formula>AND(E7=0,C7=13)</formula>
    </cfRule>
  </conditionalFormatting>
  <conditionalFormatting sqref="G7:J19">
    <cfRule type="expression" dxfId="5" priority="12">
      <formula>IF(AND(ISNUMBER($G7),$G7=$I7),TRUE)</formula>
    </cfRule>
    <cfRule type="expression" dxfId="7" priority="17">
      <formula>IF($G7&gt;$I7,TRUE)</formula>
    </cfRule>
    <cfRule type="expression" dxfId="23" priority="18">
      <formula>IF($G7&lt;$I7,TRUE)</formula>
    </cfRule>
  </conditionalFormatting>
  <conditionalFormatting sqref="K7:N19">
    <cfRule type="expression" dxfId="5" priority="10">
      <formula>IF(AND(ISNUMBER($K7),$K7=$M7),TRUE)</formula>
    </cfRule>
    <cfRule type="expression" dxfId="7" priority="21">
      <formula>IF($K7&gt;$M7,TRUE)</formula>
    </cfRule>
    <cfRule type="expression" dxfId="23" priority="22">
      <formula>IF($K7&lt;$M7,TRUE)</formula>
    </cfRule>
  </conditionalFormatting>
  <conditionalFormatting sqref="O7:R19">
    <cfRule type="expression" dxfId="5" priority="9">
      <formula>IF(AND(ISNUMBER($O7),$O7=$Q7),TRUE)</formula>
    </cfRule>
    <cfRule type="expression" dxfId="7" priority="25">
      <formula>IF($O7&gt;$Q7,TRUE)</formula>
    </cfRule>
    <cfRule type="expression" dxfId="23" priority="26">
      <formula>IF($O7&lt;$Q7,TRUE)</formula>
    </cfRule>
  </conditionalFormatting>
  <conditionalFormatting sqref="S7:V19">
    <cfRule type="expression" dxfId="5" priority="8">
      <formula>IF(AND(ISNUMBER($S7),$S7=$U7),TRUE)</formula>
    </cfRule>
    <cfRule type="expression" dxfId="7" priority="29">
      <formula>IF($S7&gt;$U7,TRUE)</formula>
    </cfRule>
    <cfRule type="expression" dxfId="23" priority="30">
      <formula>IF($S7&lt;$U7,TRUE)</formula>
    </cfRule>
  </conditionalFormatting>
  <conditionalFormatting sqref="AJ7:AJ19;AH7:AH19;AL7:AL19">
    <cfRule type="expression" dxfId="25" priority="36">
      <formula>AND(AG7="",FIND(",",AH7))</formula>
    </cfRule>
    <cfRule type="expression" dxfId="22" priority="38">
      <formula>AND(AG7="",COUNTIF(AH7,"*,*")=0)</formula>
    </cfRule>
  </conditionalFormatting>
  <conditionalFormatting sqref="AN7:AN19;AP7:AP19">
    <cfRule type="expression" dxfId="22" priority="34">
      <formula>AND(AM7="",COUNTIF(AN7,"*,*")=0)</formula>
    </cfRule>
    <cfRule type="expression" dxfId="25" priority="35">
      <formula>AND(AM7="",FIND(",",AN7))</formula>
    </cfRule>
  </conditionalFormatting>
  <pageMargins left="0.393700787401575" right="0.393700787401575" top="0.78740157480315" bottom="0.393700787401575" header="0.78740157480315" footer="0"/>
  <pageSetup paperSize="9" fitToHeight="0" orientation="landscape" verticalDpi="1200"/>
  <headerFooter>
    <oddHeader>&amp;R&amp;P. leht &amp;N&amp; -st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Kalend</vt:lpstr>
      <vt:lpstr>Kal E</vt:lpstr>
      <vt:lpstr>V</vt:lpstr>
      <vt:lpstr>TMV-d</vt:lpstr>
      <vt:lpstr>V1</vt:lpstr>
      <vt:lpstr>V2</vt:lpstr>
      <vt:lpstr>iv-ü</vt:lpstr>
      <vt:lpstr>TMV-t</vt:lpstr>
      <vt:lpstr>V3</vt:lpstr>
      <vt:lpstr>V4</vt:lpstr>
      <vt:lpstr>V5</vt:lpstr>
      <vt:lpstr>Jaani</vt:lpstr>
      <vt:lpstr>M</vt:lpstr>
      <vt:lpstr>V6</vt:lpstr>
      <vt:lpstr>V7</vt:lpstr>
      <vt:lpstr>V8</vt:lpstr>
      <vt:lpstr>ETAPP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</dc:creator>
  <cp:lastModifiedBy>Robert</cp:lastModifiedBy>
  <dcterms:created xsi:type="dcterms:W3CDTF">2023-02-04T07:51:00Z</dcterms:created>
  <cp:lastPrinted>2023-11-07T18:24:00Z</cp:lastPrinted>
  <dcterms:modified xsi:type="dcterms:W3CDTF">2024-08-11T06:01:48Z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96A76784F6FF40C8B59BC17E064DA007_12</vt:lpwstr>
  </property>
  <property fmtid="{D5CDD505-2E9C-101B-9397-08002B2CF9AE}" pid="3" name="KSOProductBuildVer">
    <vt:lpwstr>1033-12.2.0.16909</vt:lpwstr>
  </property>
</Properties>
</file>