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20" windowHeight="8580" activeTab="1"/>
  </bookViews>
  <sheets>
    <sheet name="Kalend" sheetId="2" r:id="rId1"/>
    <sheet name="Kal E" sheetId="1" r:id="rId2"/>
    <sheet name="V" sheetId="4" r:id="rId3"/>
    <sheet name="V1" sheetId="5" r:id="rId4"/>
    <sheet name="V2" sheetId="7" r:id="rId5"/>
    <sheet name="V3" sheetId="8" r:id="rId6"/>
    <sheet name="V4" sheetId="11" r:id="rId7"/>
    <sheet name="V5" sheetId="12" r:id="rId8"/>
    <sheet name="V6" sheetId="13" r:id="rId9"/>
    <sheet name="V7" sheetId="14" r:id="rId10"/>
    <sheet name="V8" sheetId="15" r:id="rId11"/>
    <sheet name="V9" sheetId="16" r:id="rId12"/>
    <sheet name="V10" sheetId="17" r:id="rId13"/>
    <sheet name="M" sheetId="9" r:id="rId14"/>
    <sheet name="TMV-d" sheetId="10" r:id="rId15"/>
    <sheet name="TMV-ü" sheetId="18" r:id="rId16"/>
    <sheet name="TMV-t" sheetId="19" r:id="rId17"/>
    <sheet name="Juhend - Toila valla MV" sheetId="6" r:id="rId18"/>
  </sheets>
  <externalReferences>
    <externalReference r:id="rId19"/>
  </externalReferences>
  <definedNames>
    <definedName name="__DdeLink__158_3716264120" localSheetId="17">'Juhend - Toila valla MV'!$A$25</definedName>
    <definedName name="_xlnm._FilterDatabase" localSheetId="0" hidden="1">Kalend!$A$3:$I$32</definedName>
    <definedName name="_xlnm._FilterDatabase" localSheetId="2" hidden="1">V!$A$5:$I$123</definedName>
    <definedName name="a" localSheetId="0">#REF!</definedName>
    <definedName name="a" localSheetId="13">#REF!</definedName>
    <definedName name="a" localSheetId="14">#REF!</definedName>
    <definedName name="a" localSheetId="16">#REF!</definedName>
    <definedName name="a" localSheetId="15">#REF!</definedName>
    <definedName name="a" localSheetId="12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>#REF!</definedName>
    <definedName name="Nimed" localSheetId="0">#REF!</definedName>
    <definedName name="Nimed" localSheetId="13">#REF!</definedName>
    <definedName name="Nimed" localSheetId="14">#REF!</definedName>
    <definedName name="Nimed" localSheetId="16">#REF!</definedName>
    <definedName name="Nimed" localSheetId="15">#REF!</definedName>
    <definedName name="Nimed" localSheetId="12">#REF!</definedName>
    <definedName name="Nimed" localSheetId="4">#REF!</definedName>
    <definedName name="Nimed" localSheetId="5">#REF!</definedName>
    <definedName name="Nimed" localSheetId="6">#REF!</definedName>
    <definedName name="Nimed" localSheetId="7">#REF!</definedName>
    <definedName name="Nimed" localSheetId="8">#REF!</definedName>
    <definedName name="Nimed" localSheetId="9">#REF!</definedName>
    <definedName name="Nimed" localSheetId="10">#REF!</definedName>
    <definedName name="Nimed" localSheetId="11">#REF!</definedName>
    <definedName name="Nimed">#REF!</definedName>
    <definedName name="_xlnm.Print_Titles" localSheetId="1">'Kal E'!$1:$3</definedName>
    <definedName name="_xlnm.Print_Titles" localSheetId="0">Kalend!$1:$3</definedName>
    <definedName name="_xlnm.Print_Titles" localSheetId="13">M!$1:$2</definedName>
    <definedName name="_xlnm.Print_Titles" localSheetId="14">'TMV-d'!$1:$2</definedName>
    <definedName name="_xlnm.Print_Titles" localSheetId="16">'TMV-t'!$1:$2</definedName>
    <definedName name="_xlnm.Print_Titles" localSheetId="15">'TMV-ü'!$1:$2</definedName>
    <definedName name="_xlnm.Print_Titles" localSheetId="2">V!$1:$6</definedName>
    <definedName name="_xlnm.Print_Titles" localSheetId="3">'V1'!$1:$2</definedName>
    <definedName name="_xlnm.Print_Titles" localSheetId="12">'V10'!$1:$2</definedName>
    <definedName name="_xlnm.Print_Titles" localSheetId="4">'V2'!$1:$2</definedName>
    <definedName name="_xlnm.Print_Titles" localSheetId="5">'V3'!$1:$2</definedName>
    <definedName name="_xlnm.Print_Titles" localSheetId="6">'V4'!$1:$2</definedName>
    <definedName name="_xlnm.Print_Titles" localSheetId="7">'V5'!$1:$2</definedName>
    <definedName name="_xlnm.Print_Titles" localSheetId="8">'V6'!$1:$2</definedName>
    <definedName name="_xlnm.Print_Titles" localSheetId="9">'V7'!$1:$2</definedName>
    <definedName name="_xlnm.Print_Titles" localSheetId="10">'V8'!$1:$2</definedName>
    <definedName name="_xlnm.Print_Titles" localSheetId="11">'V9'!$1:$2</definedName>
    <definedName name="sd" localSheetId="0">#REF!</definedName>
    <definedName name="sd" localSheetId="13">#REF!</definedName>
    <definedName name="sd" localSheetId="14">#REF!</definedName>
    <definedName name="sd" localSheetId="16">#REF!</definedName>
    <definedName name="sd" localSheetId="15">#REF!</definedName>
    <definedName name="sd" localSheetId="12">#REF!</definedName>
    <definedName name="sd" localSheetId="4">#REF!</definedName>
    <definedName name="sd" localSheetId="5">#REF!</definedName>
    <definedName name="sd" localSheetId="6">#REF!</definedName>
    <definedName name="sd" localSheetId="7">#REF!</definedName>
    <definedName name="sd" localSheetId="8">#REF!</definedName>
    <definedName name="sd" localSheetId="9">#REF!</definedName>
    <definedName name="sd" localSheetId="10">#REF!</definedName>
    <definedName name="sd" localSheetId="11">#REF!</definedName>
    <definedName name="sd">#REF!</definedName>
    <definedName name="Voka" localSheetId="0">#REF!</definedName>
    <definedName name="Voka" localSheetId="13">#REF!</definedName>
    <definedName name="Voka" localSheetId="14">#REF!</definedName>
    <definedName name="Voka" localSheetId="16">#REF!</definedName>
    <definedName name="Voka" localSheetId="15">#REF!</definedName>
    <definedName name="Voka" localSheetId="12">#REF!</definedName>
    <definedName name="Voka" localSheetId="4">#REF!</definedName>
    <definedName name="Voka" localSheetId="5">#REF!</definedName>
    <definedName name="Voka" localSheetId="6">#REF!</definedName>
    <definedName name="Voka" localSheetId="7">#REF!</definedName>
    <definedName name="Voka" localSheetId="8">#REF!</definedName>
    <definedName name="Voka" localSheetId="9">#REF!</definedName>
    <definedName name="Voka" localSheetId="10">#REF!</definedName>
    <definedName name="Voka" localSheetId="11">#REF!</definedName>
    <definedName name="Voka">#REF!</definedName>
  </definedNames>
  <calcPr calcId="145621"/>
</workbook>
</file>

<file path=xl/calcChain.xml><?xml version="1.0" encoding="utf-8"?>
<calcChain xmlns="http://schemas.openxmlformats.org/spreadsheetml/2006/main">
  <c r="A1" i="19" l="1"/>
  <c r="C306" i="19"/>
  <c r="C305" i="19"/>
  <c r="C304" i="19"/>
  <c r="C303" i="19"/>
  <c r="C302" i="19"/>
  <c r="C301" i="19"/>
  <c r="C300" i="19"/>
  <c r="AP13" i="19"/>
  <c r="AO13" i="19" s="1"/>
  <c r="AN13" i="19"/>
  <c r="AM13" i="19" s="1"/>
  <c r="AL13" i="19"/>
  <c r="AK13" i="19" s="1"/>
  <c r="AJ13" i="19"/>
  <c r="AI13" i="19" s="1"/>
  <c r="AH13" i="19"/>
  <c r="AG13" i="19" s="1"/>
  <c r="AF13" i="19"/>
  <c r="AE13" i="19" s="1"/>
  <c r="AB13" i="19"/>
  <c r="Z13" i="19"/>
  <c r="W13" i="19"/>
  <c r="AP12" i="19"/>
  <c r="AO12" i="19" s="1"/>
  <c r="AN12" i="19"/>
  <c r="AM12" i="19" s="1"/>
  <c r="AL12" i="19"/>
  <c r="AK12" i="19" s="1"/>
  <c r="AJ12" i="19"/>
  <c r="AI12" i="19" s="1"/>
  <c r="AH12" i="19"/>
  <c r="AG12" i="19" s="1"/>
  <c r="AF12" i="19"/>
  <c r="AE12" i="19" s="1"/>
  <c r="AD12" i="19" s="1"/>
  <c r="AB12" i="19"/>
  <c r="Z12" i="19"/>
  <c r="AC12" i="19" s="1"/>
  <c r="W12" i="19"/>
  <c r="AP11" i="19"/>
  <c r="AO11" i="19" s="1"/>
  <c r="AN11" i="19"/>
  <c r="AM11" i="19" s="1"/>
  <c r="AL11" i="19"/>
  <c r="AK11" i="19" s="1"/>
  <c r="AJ11" i="19"/>
  <c r="AI11" i="19" s="1"/>
  <c r="AH11" i="19"/>
  <c r="AG11" i="19" s="1"/>
  <c r="AF11" i="19"/>
  <c r="AE11" i="19" s="1"/>
  <c r="AD11" i="19" s="1"/>
  <c r="AB11" i="19"/>
  <c r="Z11" i="19"/>
  <c r="W11" i="19"/>
  <c r="AP10" i="19"/>
  <c r="AO10" i="19" s="1"/>
  <c r="AN10" i="19"/>
  <c r="AM10" i="19" s="1"/>
  <c r="AL10" i="19"/>
  <c r="AK10" i="19" s="1"/>
  <c r="AJ10" i="19"/>
  <c r="AI10" i="19" s="1"/>
  <c r="AH10" i="19"/>
  <c r="AG10" i="19" s="1"/>
  <c r="AF10" i="19"/>
  <c r="AE10" i="19" s="1"/>
  <c r="AD10" i="19" s="1"/>
  <c r="AB10" i="19"/>
  <c r="Z10" i="19"/>
  <c r="AC10" i="19" s="1"/>
  <c r="W10" i="19"/>
  <c r="AP9" i="19"/>
  <c r="AO9" i="19" s="1"/>
  <c r="AN9" i="19"/>
  <c r="AM9" i="19" s="1"/>
  <c r="AL9" i="19"/>
  <c r="AK9" i="19" s="1"/>
  <c r="AJ9" i="19"/>
  <c r="AI9" i="19" s="1"/>
  <c r="AH9" i="19"/>
  <c r="AG9" i="19" s="1"/>
  <c r="AF9" i="19"/>
  <c r="AE9" i="19" s="1"/>
  <c r="AD9" i="19" s="1"/>
  <c r="AB9" i="19"/>
  <c r="Z9" i="19"/>
  <c r="W9" i="19"/>
  <c r="AP8" i="19"/>
  <c r="AO8" i="19" s="1"/>
  <c r="AN8" i="19"/>
  <c r="AM8" i="19" s="1"/>
  <c r="AL8" i="19"/>
  <c r="AK8" i="19" s="1"/>
  <c r="AJ8" i="19"/>
  <c r="AI8" i="19" s="1"/>
  <c r="AH8" i="19"/>
  <c r="AG8" i="19" s="1"/>
  <c r="AF8" i="19"/>
  <c r="AE8" i="19" s="1"/>
  <c r="AD8" i="19" s="1"/>
  <c r="AB8" i="19"/>
  <c r="Z8" i="19"/>
  <c r="AC8" i="19" s="1"/>
  <c r="W8" i="19"/>
  <c r="AP7" i="19"/>
  <c r="AO7" i="19" s="1"/>
  <c r="AN7" i="19"/>
  <c r="AM7" i="19" s="1"/>
  <c r="AL7" i="19"/>
  <c r="AK7" i="19" s="1"/>
  <c r="AJ7" i="19"/>
  <c r="AI7" i="19" s="1"/>
  <c r="AH7" i="19"/>
  <c r="AG7" i="19" s="1"/>
  <c r="AF7" i="19"/>
  <c r="AE7" i="19" s="1"/>
  <c r="AD7" i="19" s="1"/>
  <c r="AB7" i="19"/>
  <c r="Z7" i="19"/>
  <c r="W7" i="19"/>
  <c r="AD13" i="19" l="1"/>
  <c r="AC7" i="19"/>
  <c r="AC9" i="19"/>
  <c r="AC11" i="19"/>
  <c r="AC13" i="19"/>
  <c r="B300" i="19"/>
  <c r="B301" i="19"/>
  <c r="B302" i="19"/>
  <c r="B303" i="19"/>
  <c r="B304" i="19"/>
  <c r="B305" i="19"/>
  <c r="B306" i="19"/>
  <c r="AJ8" i="18"/>
  <c r="AJ9" i="18"/>
  <c r="AJ10" i="18"/>
  <c r="AJ11" i="18"/>
  <c r="AJ12" i="18"/>
  <c r="AJ14" i="18"/>
  <c r="AJ15" i="18"/>
  <c r="AJ16" i="18"/>
  <c r="AJ17" i="18"/>
  <c r="AJ18" i="18"/>
  <c r="AJ19" i="18"/>
  <c r="AJ20" i="18"/>
  <c r="AJ21" i="18"/>
  <c r="AJ22" i="18"/>
  <c r="AH22" i="18" s="1"/>
  <c r="AJ23" i="18"/>
  <c r="AJ25" i="18"/>
  <c r="AJ26" i="18"/>
  <c r="AH26" i="18" s="1"/>
  <c r="AI8" i="18"/>
  <c r="AI9" i="18"/>
  <c r="AI10" i="18"/>
  <c r="AI11" i="18"/>
  <c r="AI12" i="18"/>
  <c r="AI13" i="18"/>
  <c r="AJ13" i="18" s="1"/>
  <c r="AI14" i="18"/>
  <c r="AI15" i="18"/>
  <c r="AI16" i="18"/>
  <c r="AI17" i="18"/>
  <c r="AI18" i="18"/>
  <c r="AI19" i="18"/>
  <c r="AI20" i="18"/>
  <c r="AI21" i="18"/>
  <c r="AI22" i="18"/>
  <c r="AI23" i="18"/>
  <c r="AI24" i="18"/>
  <c r="AJ24" i="18" s="1"/>
  <c r="AH24" i="18" s="1"/>
  <c r="AI25" i="18"/>
  <c r="AI26" i="18"/>
  <c r="AI7" i="18"/>
  <c r="AD20" i="18"/>
  <c r="AF20" i="18"/>
  <c r="AG20" i="18"/>
  <c r="AH20" i="18"/>
  <c r="AD21" i="18"/>
  <c r="AF21" i="18"/>
  <c r="AH21" i="18"/>
  <c r="AD22" i="18"/>
  <c r="AF22" i="18"/>
  <c r="AG22" i="18" s="1"/>
  <c r="AD23" i="18"/>
  <c r="AF23" i="18"/>
  <c r="AH23" i="18"/>
  <c r="AD24" i="18"/>
  <c r="AF24" i="18"/>
  <c r="AG24" i="18" s="1"/>
  <c r="AD25" i="18"/>
  <c r="AF25" i="18"/>
  <c r="AH25" i="18"/>
  <c r="AD26" i="18"/>
  <c r="AF26" i="18"/>
  <c r="AG26" i="18" s="1"/>
  <c r="AG25" i="18" l="1"/>
  <c r="AG23" i="18"/>
  <c r="AG21" i="18"/>
  <c r="AH8" i="18"/>
  <c r="A1" i="18" l="1"/>
  <c r="AF19" i="18"/>
  <c r="AD19" i="18"/>
  <c r="AG19" i="18" s="1"/>
  <c r="AH18" i="18"/>
  <c r="AF18" i="18"/>
  <c r="AD18" i="18"/>
  <c r="AF17" i="18"/>
  <c r="AD17" i="18"/>
  <c r="AH16" i="18"/>
  <c r="AF16" i="18"/>
  <c r="AD16" i="18"/>
  <c r="AG16" i="18" s="1"/>
  <c r="AF15" i="18"/>
  <c r="AD15" i="18"/>
  <c r="AH14" i="18"/>
  <c r="AF14" i="18"/>
  <c r="AD14" i="18"/>
  <c r="AF13" i="18"/>
  <c r="AD13" i="18"/>
  <c r="AH12" i="18"/>
  <c r="AF12" i="18"/>
  <c r="AD12" i="18"/>
  <c r="AF11" i="18"/>
  <c r="AD11" i="18"/>
  <c r="AG11" i="18" s="1"/>
  <c r="AH10" i="18"/>
  <c r="AF10" i="18"/>
  <c r="AD10" i="18"/>
  <c r="AF9" i="18"/>
  <c r="AD9" i="18"/>
  <c r="AF8" i="18"/>
  <c r="AD8" i="18"/>
  <c r="AG8" i="18" s="1"/>
  <c r="AF7" i="18"/>
  <c r="AD7" i="18"/>
  <c r="AG7" i="18" s="1"/>
  <c r="B312" i="18" l="1"/>
  <c r="B314" i="18"/>
  <c r="B316" i="18"/>
  <c r="B318" i="18"/>
  <c r="B313" i="18"/>
  <c r="B315" i="18"/>
  <c r="B317" i="18"/>
  <c r="B319" i="18"/>
  <c r="AG12" i="18"/>
  <c r="AG15" i="18"/>
  <c r="AG9" i="18"/>
  <c r="AG10" i="18"/>
  <c r="AG13" i="18"/>
  <c r="AG14" i="18"/>
  <c r="AG17" i="18"/>
  <c r="AG18" i="18"/>
  <c r="AH9" i="18"/>
  <c r="AH11" i="18"/>
  <c r="AH13" i="18"/>
  <c r="AH15" i="18"/>
  <c r="AH17" i="18"/>
  <c r="AH19" i="18"/>
  <c r="B300" i="18"/>
  <c r="B301" i="18"/>
  <c r="B302" i="18"/>
  <c r="B303" i="18"/>
  <c r="B304" i="18"/>
  <c r="B305" i="18"/>
  <c r="B306" i="18"/>
  <c r="B307" i="18"/>
  <c r="B308" i="18"/>
  <c r="B309" i="18"/>
  <c r="B310" i="18"/>
  <c r="B311" i="18"/>
  <c r="M66" i="1"/>
  <c r="M68" i="1"/>
  <c r="K69" i="1"/>
  <c r="AF17" i="17"/>
  <c r="AH17" i="17"/>
  <c r="AJ17" i="17"/>
  <c r="AI17" i="17" s="1"/>
  <c r="AL17" i="17"/>
  <c r="AK17" i="17" s="1"/>
  <c r="AN17" i="17"/>
  <c r="AM17" i="17" s="1"/>
  <c r="AP17" i="17"/>
  <c r="AO17" i="17" s="1"/>
  <c r="AF18" i="17"/>
  <c r="AH18" i="17"/>
  <c r="AJ18" i="17"/>
  <c r="AI18" i="17" s="1"/>
  <c r="AL18" i="17"/>
  <c r="AK18" i="17" s="1"/>
  <c r="AN18" i="17"/>
  <c r="AM18" i="17" s="1"/>
  <c r="AP18" i="17"/>
  <c r="AO18" i="17" s="1"/>
  <c r="A1" i="17"/>
  <c r="C311" i="17"/>
  <c r="C310" i="17"/>
  <c r="C309" i="17"/>
  <c r="C308" i="17"/>
  <c r="C307" i="17"/>
  <c r="C306" i="17"/>
  <c r="C305" i="17"/>
  <c r="C304" i="17"/>
  <c r="C303" i="17"/>
  <c r="C302" i="17"/>
  <c r="C301" i="17"/>
  <c r="C300" i="17"/>
  <c r="AB18" i="17"/>
  <c r="Z18" i="17"/>
  <c r="W18" i="17"/>
  <c r="AB17" i="17"/>
  <c r="Z17" i="17"/>
  <c r="AC17" i="17" s="1"/>
  <c r="W17" i="17"/>
  <c r="AP16" i="17"/>
  <c r="AO16" i="17" s="1"/>
  <c r="AN16" i="17"/>
  <c r="AM16" i="17" s="1"/>
  <c r="AL16" i="17"/>
  <c r="AK16" i="17" s="1"/>
  <c r="AJ16" i="17"/>
  <c r="AI16" i="17" s="1"/>
  <c r="AH16" i="17"/>
  <c r="AF16" i="17"/>
  <c r="AB16" i="17"/>
  <c r="Z16" i="17"/>
  <c r="W16" i="17"/>
  <c r="AP15" i="17"/>
  <c r="AO15" i="17" s="1"/>
  <c r="AN15" i="17"/>
  <c r="AM15" i="17" s="1"/>
  <c r="AL15" i="17"/>
  <c r="AK15" i="17" s="1"/>
  <c r="AJ15" i="17"/>
  <c r="AI15" i="17" s="1"/>
  <c r="AH15" i="17"/>
  <c r="AF15" i="17"/>
  <c r="AB15" i="17"/>
  <c r="Z15" i="17"/>
  <c r="AC15" i="17" s="1"/>
  <c r="W15" i="17"/>
  <c r="AP14" i="17"/>
  <c r="AO14" i="17" s="1"/>
  <c r="AN14" i="17"/>
  <c r="AM14" i="17" s="1"/>
  <c r="AL14" i="17"/>
  <c r="AK14" i="17" s="1"/>
  <c r="AJ14" i="17"/>
  <c r="AI14" i="17" s="1"/>
  <c r="AH14" i="17"/>
  <c r="AF14" i="17"/>
  <c r="AB14" i="17"/>
  <c r="Z14" i="17"/>
  <c r="W14" i="17"/>
  <c r="AP13" i="17"/>
  <c r="AO13" i="17" s="1"/>
  <c r="AN13" i="17"/>
  <c r="AM13" i="17" s="1"/>
  <c r="AL13" i="17"/>
  <c r="AK13" i="17" s="1"/>
  <c r="AJ13" i="17"/>
  <c r="AI13" i="17" s="1"/>
  <c r="AH13" i="17"/>
  <c r="AF13" i="17"/>
  <c r="AB13" i="17"/>
  <c r="Z13" i="17"/>
  <c r="AC13" i="17" s="1"/>
  <c r="W13" i="17"/>
  <c r="AP12" i="17"/>
  <c r="AO12" i="17" s="1"/>
  <c r="AN12" i="17"/>
  <c r="AM12" i="17" s="1"/>
  <c r="AL12" i="17"/>
  <c r="AK12" i="17" s="1"/>
  <c r="AJ12" i="17"/>
  <c r="AI12" i="17" s="1"/>
  <c r="AH12" i="17"/>
  <c r="AF12" i="17"/>
  <c r="AB12" i="17"/>
  <c r="Z12" i="17"/>
  <c r="W12" i="17"/>
  <c r="AP11" i="17"/>
  <c r="AO11" i="17" s="1"/>
  <c r="AN11" i="17"/>
  <c r="AM11" i="17" s="1"/>
  <c r="AL11" i="17"/>
  <c r="AK11" i="17" s="1"/>
  <c r="AJ11" i="17"/>
  <c r="AI11" i="17" s="1"/>
  <c r="AH11" i="17"/>
  <c r="AF11" i="17"/>
  <c r="AB11" i="17"/>
  <c r="Z11" i="17"/>
  <c r="AC11" i="17" s="1"/>
  <c r="W11" i="17"/>
  <c r="AP10" i="17"/>
  <c r="AO10" i="17" s="1"/>
  <c r="AN10" i="17"/>
  <c r="AM10" i="17" s="1"/>
  <c r="AL10" i="17"/>
  <c r="AK10" i="17" s="1"/>
  <c r="AJ10" i="17"/>
  <c r="AI10" i="17" s="1"/>
  <c r="AH10" i="17"/>
  <c r="AF10" i="17"/>
  <c r="AB10" i="17"/>
  <c r="Z10" i="17"/>
  <c r="W10" i="17"/>
  <c r="AP9" i="17"/>
  <c r="AO9" i="17" s="1"/>
  <c r="AN9" i="17"/>
  <c r="AM9" i="17" s="1"/>
  <c r="AL9" i="17"/>
  <c r="AJ9" i="17"/>
  <c r="AH9" i="17"/>
  <c r="AF9" i="17"/>
  <c r="AB9" i="17"/>
  <c r="Z9" i="17"/>
  <c r="AC9" i="17" s="1"/>
  <c r="W9" i="17"/>
  <c r="AP8" i="17"/>
  <c r="AO8" i="17" s="1"/>
  <c r="AN8" i="17"/>
  <c r="AM8" i="17" s="1"/>
  <c r="AL8" i="17"/>
  <c r="AK8" i="17" s="1"/>
  <c r="AJ8" i="17"/>
  <c r="AI8" i="17" s="1"/>
  <c r="AH8" i="17"/>
  <c r="AF8" i="17"/>
  <c r="AB8" i="17"/>
  <c r="Z8" i="17"/>
  <c r="W8" i="17"/>
  <c r="AP7" i="17"/>
  <c r="AO7" i="17" s="1"/>
  <c r="AN7" i="17"/>
  <c r="AM7" i="17" s="1"/>
  <c r="AL7" i="17"/>
  <c r="AK7" i="17" s="1"/>
  <c r="AJ7" i="17"/>
  <c r="AI7" i="17" s="1"/>
  <c r="AH7" i="17"/>
  <c r="AF7" i="17"/>
  <c r="AB7" i="17"/>
  <c r="Z7" i="17"/>
  <c r="AC7" i="17" s="1"/>
  <c r="W7" i="17"/>
  <c r="AC8" i="17" l="1"/>
  <c r="AC10" i="17"/>
  <c r="AC12" i="17"/>
  <c r="AC14" i="17"/>
  <c r="AC16" i="17"/>
  <c r="AC18" i="17"/>
  <c r="B300" i="17"/>
  <c r="B301" i="17"/>
  <c r="B302" i="17"/>
  <c r="B303" i="17"/>
  <c r="B304" i="17"/>
  <c r="B305" i="17"/>
  <c r="B306" i="17"/>
  <c r="B307" i="17"/>
  <c r="B308" i="17"/>
  <c r="B309" i="17"/>
  <c r="B310" i="17"/>
  <c r="B311" i="17"/>
  <c r="W15" i="16"/>
  <c r="Z15" i="16"/>
  <c r="AB15" i="16"/>
  <c r="AC15" i="16" s="1"/>
  <c r="AF15" i="16"/>
  <c r="AH15" i="16"/>
  <c r="AJ15" i="16"/>
  <c r="AI15" i="16" s="1"/>
  <c r="AL15" i="16"/>
  <c r="AK15" i="16" s="1"/>
  <c r="AN15" i="16"/>
  <c r="AM15" i="16" s="1"/>
  <c r="AP15" i="16"/>
  <c r="AO15" i="16" s="1"/>
  <c r="W16" i="16"/>
  <c r="Z16" i="16"/>
  <c r="AB16" i="16"/>
  <c r="AC16" i="16"/>
  <c r="AF16" i="16"/>
  <c r="AH16" i="16"/>
  <c r="AJ16" i="16"/>
  <c r="AI16" i="16" s="1"/>
  <c r="AL16" i="16"/>
  <c r="AK16" i="16" s="1"/>
  <c r="AN16" i="16"/>
  <c r="AM16" i="16" s="1"/>
  <c r="AP16" i="16"/>
  <c r="AO16" i="16" s="1"/>
  <c r="W17" i="16"/>
  <c r="Z17" i="16"/>
  <c r="AB17" i="16"/>
  <c r="AC17" i="16" s="1"/>
  <c r="AF17" i="16"/>
  <c r="AH17" i="16"/>
  <c r="AJ17" i="16"/>
  <c r="AI17" i="16" s="1"/>
  <c r="AL17" i="16"/>
  <c r="AK17" i="16" s="1"/>
  <c r="AN17" i="16"/>
  <c r="AM17" i="16" s="1"/>
  <c r="AP17" i="16"/>
  <c r="AO17" i="16" s="1"/>
  <c r="W18" i="16"/>
  <c r="Z18" i="16"/>
  <c r="AB18" i="16"/>
  <c r="AC18" i="16"/>
  <c r="AF18" i="16"/>
  <c r="AH18" i="16"/>
  <c r="AJ18" i="16"/>
  <c r="AI18" i="16" s="1"/>
  <c r="AL18" i="16"/>
  <c r="AK18" i="16" s="1"/>
  <c r="AN18" i="16"/>
  <c r="AM18" i="16" s="1"/>
  <c r="AP18" i="16"/>
  <c r="AO18" i="16" s="1"/>
  <c r="W19" i="16"/>
  <c r="Z19" i="16"/>
  <c r="AB19" i="16"/>
  <c r="AC19" i="16" s="1"/>
  <c r="AF19" i="16"/>
  <c r="AH19" i="16"/>
  <c r="AJ19" i="16"/>
  <c r="AI19" i="16" s="1"/>
  <c r="AL19" i="16"/>
  <c r="AK19" i="16" s="1"/>
  <c r="AN19" i="16"/>
  <c r="AM19" i="16" s="1"/>
  <c r="AP19" i="16"/>
  <c r="AO19" i="16" s="1"/>
  <c r="W20" i="16"/>
  <c r="Z20" i="16"/>
  <c r="AB20" i="16"/>
  <c r="AC20" i="16"/>
  <c r="AF20" i="16"/>
  <c r="AH20" i="16"/>
  <c r="AJ20" i="16"/>
  <c r="AI20" i="16" s="1"/>
  <c r="AL20" i="16"/>
  <c r="AK20" i="16" s="1"/>
  <c r="AN20" i="16"/>
  <c r="AM20" i="16" s="1"/>
  <c r="AP20" i="16"/>
  <c r="AO20" i="16" s="1"/>
  <c r="B308" i="16"/>
  <c r="C308" i="16"/>
  <c r="B309" i="16"/>
  <c r="C309" i="16"/>
  <c r="B310" i="16"/>
  <c r="C310" i="16"/>
  <c r="B311" i="16"/>
  <c r="C311" i="16"/>
  <c r="B312" i="16"/>
  <c r="C312" i="16"/>
  <c r="B313" i="16"/>
  <c r="C313" i="16"/>
  <c r="A1" i="16"/>
  <c r="C307" i="16"/>
  <c r="C306" i="16"/>
  <c r="C305" i="16"/>
  <c r="C304" i="16"/>
  <c r="C303" i="16"/>
  <c r="C302" i="16"/>
  <c r="C301" i="16"/>
  <c r="C300" i="16"/>
  <c r="AP14" i="16"/>
  <c r="AO14" i="16" s="1"/>
  <c r="AN14" i="16"/>
  <c r="AM14" i="16" s="1"/>
  <c r="AL14" i="16"/>
  <c r="AK14" i="16" s="1"/>
  <c r="AJ14" i="16"/>
  <c r="AI14" i="16" s="1"/>
  <c r="AH14" i="16"/>
  <c r="AF14" i="16"/>
  <c r="AB14" i="16"/>
  <c r="Z14" i="16"/>
  <c r="W14" i="16"/>
  <c r="AP13" i="16"/>
  <c r="AO13" i="16" s="1"/>
  <c r="AN13" i="16"/>
  <c r="AM13" i="16" s="1"/>
  <c r="AL13" i="16"/>
  <c r="AJ13" i="16"/>
  <c r="AH13" i="16"/>
  <c r="AF13" i="16"/>
  <c r="AB13" i="16"/>
  <c r="Z13" i="16"/>
  <c r="AC13" i="16" s="1"/>
  <c r="W13" i="16"/>
  <c r="AP12" i="16"/>
  <c r="AO12" i="16" s="1"/>
  <c r="AN12" i="16"/>
  <c r="AM12" i="16" s="1"/>
  <c r="AL12" i="16"/>
  <c r="AK12" i="16" s="1"/>
  <c r="AJ12" i="16"/>
  <c r="AI12" i="16" s="1"/>
  <c r="AH12" i="16"/>
  <c r="AF12" i="16"/>
  <c r="AB12" i="16"/>
  <c r="Z12" i="16"/>
  <c r="W12" i="16"/>
  <c r="AP11" i="16"/>
  <c r="AO11" i="16" s="1"/>
  <c r="AN11" i="16"/>
  <c r="AM11" i="16" s="1"/>
  <c r="AL11" i="16"/>
  <c r="AK11" i="16" s="1"/>
  <c r="AJ11" i="16"/>
  <c r="AI11" i="16" s="1"/>
  <c r="AH11" i="16"/>
  <c r="AF11" i="16"/>
  <c r="AB11" i="16"/>
  <c r="Z11" i="16"/>
  <c r="AC11" i="16" s="1"/>
  <c r="W11" i="16"/>
  <c r="AP10" i="16"/>
  <c r="AO10" i="16" s="1"/>
  <c r="AN10" i="16"/>
  <c r="AM10" i="16" s="1"/>
  <c r="AL10" i="16"/>
  <c r="AK10" i="16" s="1"/>
  <c r="AJ10" i="16"/>
  <c r="AI10" i="16" s="1"/>
  <c r="AH10" i="16"/>
  <c r="AF10" i="16"/>
  <c r="AB10" i="16"/>
  <c r="Z10" i="16"/>
  <c r="W10" i="16"/>
  <c r="AP9" i="16"/>
  <c r="AO9" i="16" s="1"/>
  <c r="AN9" i="16"/>
  <c r="AM9" i="16" s="1"/>
  <c r="AL9" i="16"/>
  <c r="AK9" i="16" s="1"/>
  <c r="AJ9" i="16"/>
  <c r="AI9" i="16" s="1"/>
  <c r="AH9" i="16"/>
  <c r="AF9" i="16"/>
  <c r="AB9" i="16"/>
  <c r="Z9" i="16"/>
  <c r="AC9" i="16" s="1"/>
  <c r="W9" i="16"/>
  <c r="AP8" i="16"/>
  <c r="AO8" i="16" s="1"/>
  <c r="AN8" i="16"/>
  <c r="AM8" i="16" s="1"/>
  <c r="AL8" i="16"/>
  <c r="AK8" i="16" s="1"/>
  <c r="AJ8" i="16"/>
  <c r="AI8" i="16" s="1"/>
  <c r="AH8" i="16"/>
  <c r="AF8" i="16"/>
  <c r="AB8" i="16"/>
  <c r="Z8" i="16"/>
  <c r="W8" i="16"/>
  <c r="AP7" i="16"/>
  <c r="AO7" i="16" s="1"/>
  <c r="AN7" i="16"/>
  <c r="AM7" i="16" s="1"/>
  <c r="AL7" i="16"/>
  <c r="AK7" i="16" s="1"/>
  <c r="AJ7" i="16"/>
  <c r="AI7" i="16" s="1"/>
  <c r="AH7" i="16"/>
  <c r="AF7" i="16"/>
  <c r="AB7" i="16"/>
  <c r="Z7" i="16"/>
  <c r="AC7" i="16" s="1"/>
  <c r="W7" i="16"/>
  <c r="AI9" i="4" l="1"/>
  <c r="AI12" i="4"/>
  <c r="AI13" i="4"/>
  <c r="AI14" i="4"/>
  <c r="AI19" i="4"/>
  <c r="AI20" i="4"/>
  <c r="AI23" i="4"/>
  <c r="AI21" i="4"/>
  <c r="AI24" i="4"/>
  <c r="AI22" i="4"/>
  <c r="AI28" i="4"/>
  <c r="AI30" i="4"/>
  <c r="AI32" i="4"/>
  <c r="AI34" i="4"/>
  <c r="AI37" i="4"/>
  <c r="AI35" i="4"/>
  <c r="AI40" i="4"/>
  <c r="AI42" i="4"/>
  <c r="AI45" i="4"/>
  <c r="AI47" i="4"/>
  <c r="AI49" i="4"/>
  <c r="AI51" i="4"/>
  <c r="AI53" i="4"/>
  <c r="AI43" i="4"/>
  <c r="AI56" i="4"/>
  <c r="AI60" i="4"/>
  <c r="AI59" i="4"/>
  <c r="AI62" i="4"/>
  <c r="AI64" i="4"/>
  <c r="AI66" i="4"/>
  <c r="AI68" i="4"/>
  <c r="AI70" i="4"/>
  <c r="AI72" i="4"/>
  <c r="AI74" i="4"/>
  <c r="AI76" i="4"/>
  <c r="AI78" i="4"/>
  <c r="AI80" i="4"/>
  <c r="AI82" i="4"/>
  <c r="AI84" i="4"/>
  <c r="AI86" i="4"/>
  <c r="AI88" i="4"/>
  <c r="AI90" i="4"/>
  <c r="AI92" i="4"/>
  <c r="AI94" i="4"/>
  <c r="AI96" i="4"/>
  <c r="AI98" i="4"/>
  <c r="AI100" i="4"/>
  <c r="AI102" i="4"/>
  <c r="AI104" i="4"/>
  <c r="AI106" i="4"/>
  <c r="AI108" i="4"/>
  <c r="AI110" i="4"/>
  <c r="AI112" i="4"/>
  <c r="AI114" i="4"/>
  <c r="AI116" i="4"/>
  <c r="AI118" i="4"/>
  <c r="AI120" i="4"/>
  <c r="AI11" i="4"/>
  <c r="AI10" i="4"/>
  <c r="AI8" i="4"/>
  <c r="AI18" i="4"/>
  <c r="AI16" i="4"/>
  <c r="AI15" i="4"/>
  <c r="AI17" i="4"/>
  <c r="AI25" i="4"/>
  <c r="AI27" i="4"/>
  <c r="AI26" i="4"/>
  <c r="AI29" i="4"/>
  <c r="AI31" i="4"/>
  <c r="AI33" i="4"/>
  <c r="AI36" i="4"/>
  <c r="AI38" i="4"/>
  <c r="AI39" i="4"/>
  <c r="AI41" i="4"/>
  <c r="AI44" i="4"/>
  <c r="AI46" i="4"/>
  <c r="AI48" i="4"/>
  <c r="AI50" i="4"/>
  <c r="AI52" i="4"/>
  <c r="AI54" i="4"/>
  <c r="AI55" i="4"/>
  <c r="AI57" i="4"/>
  <c r="AI58" i="4"/>
  <c r="AI61" i="4"/>
  <c r="AI63" i="4"/>
  <c r="AI65" i="4"/>
  <c r="AI67" i="4"/>
  <c r="AI69" i="4"/>
  <c r="AI71" i="4"/>
  <c r="AI73" i="4"/>
  <c r="AI75" i="4"/>
  <c r="AI77" i="4"/>
  <c r="AI79" i="4"/>
  <c r="AI81" i="4"/>
  <c r="AI83" i="4"/>
  <c r="AI85" i="4"/>
  <c r="AI87" i="4"/>
  <c r="AI89" i="4"/>
  <c r="AI91" i="4"/>
  <c r="AI93" i="4"/>
  <c r="AI95" i="4"/>
  <c r="AI97" i="4"/>
  <c r="AI99" i="4"/>
  <c r="AI101" i="4"/>
  <c r="AI103" i="4"/>
  <c r="AI105" i="4"/>
  <c r="AI107" i="4"/>
  <c r="AI109" i="4"/>
  <c r="AI111" i="4"/>
  <c r="AI113" i="4"/>
  <c r="AI115" i="4"/>
  <c r="AI117" i="4"/>
  <c r="AI119" i="4"/>
  <c r="AI7" i="4"/>
  <c r="AC14" i="16"/>
  <c r="AC8" i="16"/>
  <c r="AC10" i="16"/>
  <c r="AC12" i="16"/>
  <c r="B300" i="16"/>
  <c r="B301" i="16"/>
  <c r="B302" i="16"/>
  <c r="B303" i="16"/>
  <c r="B304" i="16"/>
  <c r="B305" i="16"/>
  <c r="B306" i="16"/>
  <c r="B307" i="16"/>
  <c r="A1" i="15"/>
  <c r="C308" i="15"/>
  <c r="C307" i="15"/>
  <c r="C306" i="15"/>
  <c r="C305" i="15"/>
  <c r="C304" i="15"/>
  <c r="C303" i="15"/>
  <c r="C302" i="15"/>
  <c r="C301" i="15"/>
  <c r="C300" i="15"/>
  <c r="AP15" i="15"/>
  <c r="AO15" i="15" s="1"/>
  <c r="AN15" i="15"/>
  <c r="AM15" i="15" s="1"/>
  <c r="AL15" i="15"/>
  <c r="AK15" i="15" s="1"/>
  <c r="AJ15" i="15"/>
  <c r="AI15" i="15" s="1"/>
  <c r="AH15" i="15"/>
  <c r="AF15" i="15"/>
  <c r="AB15" i="15"/>
  <c r="Z15" i="15"/>
  <c r="AC15" i="15" s="1"/>
  <c r="W15" i="15"/>
  <c r="AP14" i="15"/>
  <c r="AO14" i="15" s="1"/>
  <c r="AN14" i="15"/>
  <c r="AM14" i="15" s="1"/>
  <c r="AL14" i="15"/>
  <c r="AK14" i="15" s="1"/>
  <c r="AJ14" i="15"/>
  <c r="AI14" i="15" s="1"/>
  <c r="AH14" i="15"/>
  <c r="AF14" i="15"/>
  <c r="AB14" i="15"/>
  <c r="Z14" i="15"/>
  <c r="AC14" i="15" s="1"/>
  <c r="W14" i="15"/>
  <c r="AP13" i="15"/>
  <c r="AO13" i="15" s="1"/>
  <c r="AN13" i="15"/>
  <c r="AM13" i="15" s="1"/>
  <c r="AL13" i="15"/>
  <c r="AK13" i="15" s="1"/>
  <c r="AJ13" i="15"/>
  <c r="AI13" i="15" s="1"/>
  <c r="AH13" i="15"/>
  <c r="AF13" i="15"/>
  <c r="AB13" i="15"/>
  <c r="Z13" i="15"/>
  <c r="AC13" i="15" s="1"/>
  <c r="W13" i="15"/>
  <c r="AP12" i="15"/>
  <c r="AO12" i="15" s="1"/>
  <c r="AN12" i="15"/>
  <c r="AM12" i="15" s="1"/>
  <c r="AL12" i="15"/>
  <c r="AK12" i="15" s="1"/>
  <c r="AJ12" i="15"/>
  <c r="AI12" i="15" s="1"/>
  <c r="AH12" i="15"/>
  <c r="AF12" i="15"/>
  <c r="AB12" i="15"/>
  <c r="Z12" i="15"/>
  <c r="AC12" i="15" s="1"/>
  <c r="W12" i="15"/>
  <c r="AP11" i="15"/>
  <c r="AO11" i="15" s="1"/>
  <c r="AN11" i="15"/>
  <c r="AM11" i="15" s="1"/>
  <c r="AL11" i="15"/>
  <c r="AK11" i="15" s="1"/>
  <c r="AJ11" i="15"/>
  <c r="AI11" i="15" s="1"/>
  <c r="AH11" i="15"/>
  <c r="AF11" i="15"/>
  <c r="AB11" i="15"/>
  <c r="Z11" i="15"/>
  <c r="AC11" i="15" s="1"/>
  <c r="W11" i="15"/>
  <c r="AP10" i="15"/>
  <c r="AO10" i="15" s="1"/>
  <c r="AN10" i="15"/>
  <c r="AM10" i="15" s="1"/>
  <c r="AL10" i="15"/>
  <c r="AK10" i="15" s="1"/>
  <c r="AJ10" i="15"/>
  <c r="AI10" i="15" s="1"/>
  <c r="AH10" i="15"/>
  <c r="AF10" i="15"/>
  <c r="AB10" i="15"/>
  <c r="Z10" i="15"/>
  <c r="AC10" i="15" s="1"/>
  <c r="W10" i="15"/>
  <c r="AP9" i="15"/>
  <c r="AO9" i="15" s="1"/>
  <c r="AN9" i="15"/>
  <c r="AM9" i="15" s="1"/>
  <c r="AL9" i="15"/>
  <c r="AK9" i="15" s="1"/>
  <c r="AJ9" i="15"/>
  <c r="AI9" i="15" s="1"/>
  <c r="AH9" i="15"/>
  <c r="AF9" i="15"/>
  <c r="AB9" i="15"/>
  <c r="Z9" i="15"/>
  <c r="AC9" i="15" s="1"/>
  <c r="W9" i="15"/>
  <c r="AP8" i="15"/>
  <c r="AO8" i="15" s="1"/>
  <c r="AN8" i="15"/>
  <c r="AM8" i="15" s="1"/>
  <c r="AL8" i="15"/>
  <c r="AK8" i="15" s="1"/>
  <c r="AJ8" i="15"/>
  <c r="AI8" i="15" s="1"/>
  <c r="AH8" i="15"/>
  <c r="AF8" i="15"/>
  <c r="AB8" i="15"/>
  <c r="Z8" i="15"/>
  <c r="AC8" i="15" s="1"/>
  <c r="W8" i="15"/>
  <c r="AP7" i="15"/>
  <c r="AO7" i="15" s="1"/>
  <c r="AN7" i="15"/>
  <c r="AM7" i="15" s="1"/>
  <c r="AL7" i="15"/>
  <c r="AK7" i="15" s="1"/>
  <c r="AJ7" i="15"/>
  <c r="AI7" i="15" s="1"/>
  <c r="AH7" i="15"/>
  <c r="AF7" i="15"/>
  <c r="AB7" i="15"/>
  <c r="Z7" i="15"/>
  <c r="AC7" i="15" s="1"/>
  <c r="W7" i="15"/>
  <c r="AH14" i="4" l="1"/>
  <c r="AH21" i="4"/>
  <c r="AH26" i="4"/>
  <c r="AH33" i="4"/>
  <c r="AH30" i="4"/>
  <c r="AH34" i="4"/>
  <c r="AH38" i="4"/>
  <c r="AH39" i="4"/>
  <c r="AH41" i="4"/>
  <c r="AH44" i="4"/>
  <c r="AH46" i="4"/>
  <c r="AH47" i="4"/>
  <c r="AH50" i="4"/>
  <c r="AH52" i="4"/>
  <c r="AH43" i="4"/>
  <c r="AH56" i="4"/>
  <c r="AH57" i="4"/>
  <c r="AH58" i="4"/>
  <c r="AH62" i="4"/>
  <c r="AH64" i="4"/>
  <c r="AH66" i="4"/>
  <c r="AH68" i="4"/>
  <c r="AH70" i="4"/>
  <c r="AH72" i="4"/>
  <c r="AH74" i="4"/>
  <c r="AH76" i="4"/>
  <c r="AH78" i="4"/>
  <c r="AH80" i="4"/>
  <c r="AH82" i="4"/>
  <c r="AH84" i="4"/>
  <c r="AH86" i="4"/>
  <c r="AH88" i="4"/>
  <c r="AH90" i="4"/>
  <c r="AH92" i="4"/>
  <c r="AH94" i="4"/>
  <c r="AH96" i="4"/>
  <c r="AH98" i="4"/>
  <c r="AH100" i="4"/>
  <c r="AH102" i="4"/>
  <c r="AH104" i="4"/>
  <c r="AH106" i="4"/>
  <c r="AH108" i="4"/>
  <c r="AH110" i="4"/>
  <c r="AH112" i="4"/>
  <c r="AH113" i="4"/>
  <c r="AH115" i="4"/>
  <c r="AH117" i="4"/>
  <c r="AH119" i="4"/>
  <c r="AH7" i="4"/>
  <c r="AH18" i="4"/>
  <c r="AH15" i="4"/>
  <c r="AH31" i="4"/>
  <c r="AH28" i="4"/>
  <c r="AH22" i="4"/>
  <c r="AH36" i="4"/>
  <c r="AH37" i="4"/>
  <c r="AH40" i="4"/>
  <c r="AH42" i="4"/>
  <c r="AH45" i="4"/>
  <c r="AH48" i="4"/>
  <c r="AH49" i="4"/>
  <c r="AH51" i="4"/>
  <c r="AH53" i="4"/>
  <c r="AH55" i="4"/>
  <c r="AH54" i="4"/>
  <c r="AH60" i="4"/>
  <c r="AH59" i="4"/>
  <c r="AH63" i="4"/>
  <c r="AH65" i="4"/>
  <c r="AH67" i="4"/>
  <c r="AH69" i="4"/>
  <c r="AH71" i="4"/>
  <c r="AH73" i="4"/>
  <c r="AH75" i="4"/>
  <c r="AH77" i="4"/>
  <c r="AH79" i="4"/>
  <c r="AH81" i="4"/>
  <c r="AH83" i="4"/>
  <c r="AH85" i="4"/>
  <c r="AH87" i="4"/>
  <c r="AH89" i="4"/>
  <c r="AH91" i="4"/>
  <c r="AH93" i="4"/>
  <c r="AH95" i="4"/>
  <c r="AH97" i="4"/>
  <c r="AH99" i="4"/>
  <c r="AH101" i="4"/>
  <c r="AH103" i="4"/>
  <c r="AH105" i="4"/>
  <c r="AH107" i="4"/>
  <c r="AH109" i="4"/>
  <c r="AH111" i="4"/>
  <c r="AH61" i="4"/>
  <c r="AH114" i="4"/>
  <c r="AH116" i="4"/>
  <c r="AH118" i="4"/>
  <c r="AH120" i="4"/>
  <c r="AH29" i="4"/>
  <c r="AH8" i="4"/>
  <c r="AH23" i="4"/>
  <c r="AH32" i="4"/>
  <c r="AH20" i="4"/>
  <c r="AH25" i="4"/>
  <c r="AH13" i="4"/>
  <c r="AH24" i="4"/>
  <c r="AH17" i="4"/>
  <c r="AH35" i="4"/>
  <c r="AH12" i="4"/>
  <c r="AH27" i="4"/>
  <c r="AH9" i="4"/>
  <c r="AH11" i="4"/>
  <c r="AH19" i="4"/>
  <c r="AH10" i="4"/>
  <c r="AH16" i="4"/>
  <c r="B300" i="15"/>
  <c r="B301" i="15"/>
  <c r="B302" i="15"/>
  <c r="B303" i="15"/>
  <c r="B304" i="15"/>
  <c r="B305" i="15"/>
  <c r="B306" i="15"/>
  <c r="B307" i="15"/>
  <c r="B308" i="15"/>
  <c r="A1" i="14"/>
  <c r="E25" i="2"/>
  <c r="C309" i="14"/>
  <c r="C308" i="14"/>
  <c r="C307" i="14"/>
  <c r="C306" i="14"/>
  <c r="C305" i="14"/>
  <c r="C304" i="14"/>
  <c r="C303" i="14"/>
  <c r="C302" i="14"/>
  <c r="C301" i="14"/>
  <c r="C300" i="14"/>
  <c r="AP16" i="14"/>
  <c r="AO16" i="14" s="1"/>
  <c r="AN16" i="14"/>
  <c r="AM16" i="14" s="1"/>
  <c r="AL16" i="14"/>
  <c r="AJ16" i="14"/>
  <c r="AH16" i="14"/>
  <c r="AF16" i="14"/>
  <c r="AB16" i="14"/>
  <c r="Z16" i="14"/>
  <c r="AC16" i="14" s="1"/>
  <c r="W16" i="14"/>
  <c r="AP15" i="14"/>
  <c r="AO15" i="14" s="1"/>
  <c r="AN15" i="14"/>
  <c r="AM15" i="14" s="1"/>
  <c r="AL15" i="14"/>
  <c r="AK15" i="14" s="1"/>
  <c r="AJ15" i="14"/>
  <c r="AI15" i="14" s="1"/>
  <c r="AH15" i="14"/>
  <c r="AF15" i="14"/>
  <c r="AB15" i="14"/>
  <c r="Z15" i="14"/>
  <c r="W15" i="14"/>
  <c r="AP14" i="14"/>
  <c r="AO14" i="14"/>
  <c r="AN14" i="14"/>
  <c r="AM14" i="14"/>
  <c r="AL14" i="14"/>
  <c r="AK14" i="14"/>
  <c r="AJ14" i="14"/>
  <c r="AI14" i="14"/>
  <c r="AH14" i="14"/>
  <c r="AF14" i="14"/>
  <c r="AB14" i="14"/>
  <c r="Z14" i="14"/>
  <c r="AC14" i="14" s="1"/>
  <c r="W14" i="14"/>
  <c r="AP13" i="14"/>
  <c r="AO13" i="14" s="1"/>
  <c r="AN13" i="14"/>
  <c r="AM13" i="14" s="1"/>
  <c r="AL13" i="14"/>
  <c r="AK13" i="14" s="1"/>
  <c r="AJ13" i="14"/>
  <c r="AI13" i="14" s="1"/>
  <c r="AH13" i="14"/>
  <c r="AF13" i="14"/>
  <c r="AB13" i="14"/>
  <c r="Z13" i="14"/>
  <c r="W13" i="14"/>
  <c r="AP12" i="14"/>
  <c r="AO12" i="14"/>
  <c r="AN12" i="14"/>
  <c r="AM12" i="14"/>
  <c r="AL12" i="14"/>
  <c r="AK12" i="14"/>
  <c r="AJ12" i="14"/>
  <c r="AI12" i="14"/>
  <c r="AH12" i="14"/>
  <c r="AF12" i="14"/>
  <c r="AB12" i="14"/>
  <c r="Z12" i="14"/>
  <c r="AC12" i="14" s="1"/>
  <c r="W12" i="14"/>
  <c r="AP11" i="14"/>
  <c r="AO11" i="14" s="1"/>
  <c r="AN11" i="14"/>
  <c r="AM11" i="14" s="1"/>
  <c r="AL11" i="14"/>
  <c r="AK11" i="14" s="1"/>
  <c r="AJ11" i="14"/>
  <c r="AI11" i="14" s="1"/>
  <c r="AH11" i="14"/>
  <c r="AF11" i="14"/>
  <c r="AB11" i="14"/>
  <c r="Z11" i="14"/>
  <c r="W11" i="14"/>
  <c r="AP10" i="14"/>
  <c r="AO10" i="14" s="1"/>
  <c r="AN10" i="14"/>
  <c r="AM10" i="14" s="1"/>
  <c r="AL10" i="14"/>
  <c r="AJ10" i="14"/>
  <c r="AH10" i="14"/>
  <c r="AF10" i="14"/>
  <c r="AB10" i="14"/>
  <c r="Z10" i="14"/>
  <c r="AC10" i="14" s="1"/>
  <c r="W10" i="14"/>
  <c r="AP9" i="14"/>
  <c r="AO9" i="14" s="1"/>
  <c r="AN9" i="14"/>
  <c r="AM9" i="14" s="1"/>
  <c r="AL9" i="14"/>
  <c r="AJ9" i="14"/>
  <c r="AH9" i="14"/>
  <c r="AG9" i="14" s="1"/>
  <c r="AF9" i="14"/>
  <c r="AB9" i="14"/>
  <c r="Z9" i="14"/>
  <c r="W9" i="14"/>
  <c r="AP8" i="14"/>
  <c r="AO8" i="14"/>
  <c r="AN8" i="14"/>
  <c r="AM8" i="14"/>
  <c r="AL8" i="14"/>
  <c r="AK8" i="14"/>
  <c r="AJ8" i="14"/>
  <c r="AI8" i="14"/>
  <c r="AH8" i="14"/>
  <c r="AF8" i="14"/>
  <c r="AB8" i="14"/>
  <c r="Z8" i="14"/>
  <c r="AC8" i="14" s="1"/>
  <c r="W8" i="14"/>
  <c r="AP7" i="14"/>
  <c r="AO7" i="14" s="1"/>
  <c r="AN7" i="14"/>
  <c r="AM7" i="14" s="1"/>
  <c r="AL7" i="14"/>
  <c r="AK7" i="14" s="1"/>
  <c r="AJ7" i="14"/>
  <c r="AI7" i="14" s="1"/>
  <c r="AH7" i="14"/>
  <c r="AF7" i="14"/>
  <c r="AB7" i="14"/>
  <c r="Z7" i="14"/>
  <c r="AC7" i="14" s="1"/>
  <c r="W7" i="14"/>
  <c r="AG9" i="4" l="1"/>
  <c r="AG8" i="4"/>
  <c r="AG14" i="4"/>
  <c r="AG12" i="4"/>
  <c r="AG18" i="4"/>
  <c r="AG21" i="4"/>
  <c r="AG15" i="4"/>
  <c r="AG16" i="4"/>
  <c r="AG24" i="4"/>
  <c r="AG25" i="4"/>
  <c r="AG28" i="4"/>
  <c r="AG22" i="4"/>
  <c r="AG29" i="4"/>
  <c r="AG32" i="4"/>
  <c r="AG38" i="4"/>
  <c r="AG39" i="4"/>
  <c r="AG41" i="4"/>
  <c r="AG35" i="4"/>
  <c r="AG45" i="4"/>
  <c r="AG48" i="4"/>
  <c r="AG47" i="4"/>
  <c r="AG51" i="4"/>
  <c r="AG53" i="4"/>
  <c r="AG55" i="4"/>
  <c r="AG54" i="4"/>
  <c r="AG60" i="4"/>
  <c r="AG59" i="4"/>
  <c r="AG63" i="4"/>
  <c r="AG65" i="4"/>
  <c r="AG67" i="4"/>
  <c r="AG69" i="4"/>
  <c r="AG71" i="4"/>
  <c r="AG73" i="4"/>
  <c r="AG75" i="4"/>
  <c r="AG77" i="4"/>
  <c r="AG79" i="4"/>
  <c r="AG81" i="4"/>
  <c r="AG83" i="4"/>
  <c r="AG85" i="4"/>
  <c r="AG87" i="4"/>
  <c r="AG89" i="4"/>
  <c r="AG91" i="4"/>
  <c r="AG93" i="4"/>
  <c r="AG95" i="4"/>
  <c r="AG97" i="4"/>
  <c r="AG99" i="4"/>
  <c r="AG101" i="4"/>
  <c r="AG103" i="4"/>
  <c r="AG105" i="4"/>
  <c r="AG107" i="4"/>
  <c r="AG109" i="4"/>
  <c r="AG111" i="4"/>
  <c r="AG61" i="4"/>
  <c r="AG114" i="4"/>
  <c r="AG116" i="4"/>
  <c r="AG118" i="4"/>
  <c r="AG120" i="4"/>
  <c r="AG10" i="4"/>
  <c r="AG19" i="4"/>
  <c r="AG11" i="4"/>
  <c r="AG13" i="4"/>
  <c r="AG20" i="4"/>
  <c r="AG23" i="4"/>
  <c r="AG17" i="4"/>
  <c r="AG26" i="4"/>
  <c r="AG31" i="4"/>
  <c r="AG33" i="4"/>
  <c r="AG30" i="4"/>
  <c r="AG34" i="4"/>
  <c r="AG27" i="4"/>
  <c r="AG36" i="4"/>
  <c r="AG37" i="4"/>
  <c r="AG40" i="4"/>
  <c r="AG42" i="4"/>
  <c r="AG44" i="4"/>
  <c r="AG46" i="4"/>
  <c r="AG49" i="4"/>
  <c r="AG50" i="4"/>
  <c r="AG52" i="4"/>
  <c r="AG43" i="4"/>
  <c r="AG56" i="4"/>
  <c r="AG57" i="4"/>
  <c r="AG58" i="4"/>
  <c r="AG62" i="4"/>
  <c r="AG64" i="4"/>
  <c r="AG66" i="4"/>
  <c r="AG68" i="4"/>
  <c r="AG70" i="4"/>
  <c r="AG72" i="4"/>
  <c r="AG74" i="4"/>
  <c r="AG76" i="4"/>
  <c r="AG78" i="4"/>
  <c r="AG80" i="4"/>
  <c r="AG82" i="4"/>
  <c r="AG84" i="4"/>
  <c r="AG86" i="4"/>
  <c r="AG88" i="4"/>
  <c r="AG90" i="4"/>
  <c r="AG92" i="4"/>
  <c r="AG94" i="4"/>
  <c r="AG96" i="4"/>
  <c r="AG98" i="4"/>
  <c r="AG100" i="4"/>
  <c r="AG102" i="4"/>
  <c r="AG104" i="4"/>
  <c r="AG106" i="4"/>
  <c r="AG108" i="4"/>
  <c r="AG110" i="4"/>
  <c r="AG112" i="4"/>
  <c r="AG113" i="4"/>
  <c r="AG115" i="4"/>
  <c r="AG117" i="4"/>
  <c r="AG119" i="4"/>
  <c r="AG7" i="4"/>
  <c r="AC9" i="14"/>
  <c r="AC11" i="14"/>
  <c r="AC13" i="14"/>
  <c r="AC15" i="14"/>
  <c r="B300" i="14"/>
  <c r="B301" i="14"/>
  <c r="B302" i="14"/>
  <c r="B303" i="14"/>
  <c r="B304" i="14"/>
  <c r="B305" i="14"/>
  <c r="B306" i="14"/>
  <c r="B307" i="14"/>
  <c r="B308" i="14"/>
  <c r="B309" i="14"/>
  <c r="AE9" i="4"/>
  <c r="AE8" i="4"/>
  <c r="AE14" i="4"/>
  <c r="AE20" i="4"/>
  <c r="AE10" i="4"/>
  <c r="AE26" i="4"/>
  <c r="AE31" i="4"/>
  <c r="AE15" i="4"/>
  <c r="AE19" i="4"/>
  <c r="AE13" i="4"/>
  <c r="AE23" i="4"/>
  <c r="AE16" i="4"/>
  <c r="AE17" i="4"/>
  <c r="AE22" i="4"/>
  <c r="AE21" i="4"/>
  <c r="AE11" i="4"/>
  <c r="AE12" i="4"/>
  <c r="AE34" i="4"/>
  <c r="AE24" i="4"/>
  <c r="AE18" i="4"/>
  <c r="AE29" i="4"/>
  <c r="AE30" i="4"/>
  <c r="AE25" i="4"/>
  <c r="AE38" i="4"/>
  <c r="AE39" i="4"/>
  <c r="AE40" i="4"/>
  <c r="AE28" i="4"/>
  <c r="AE27" i="4"/>
  <c r="AE36" i="4"/>
  <c r="AE37" i="4"/>
  <c r="AE42" i="4"/>
  <c r="AE33" i="4"/>
  <c r="AE32" i="4"/>
  <c r="AE46" i="4"/>
  <c r="AE41" i="4"/>
  <c r="AE48" i="4"/>
  <c r="AE35" i="4"/>
  <c r="AE47" i="4"/>
  <c r="AE50" i="4"/>
  <c r="AE51" i="4"/>
  <c r="AE52" i="4"/>
  <c r="AE53" i="4"/>
  <c r="AE43" i="4"/>
  <c r="AE55" i="4"/>
  <c r="AE57" i="4"/>
  <c r="AE56" i="4"/>
  <c r="AE54" i="4"/>
  <c r="AE58" i="4"/>
  <c r="AE59" i="4"/>
  <c r="AE44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45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60" i="4"/>
  <c r="AE101" i="4"/>
  <c r="AE102" i="4"/>
  <c r="AE103" i="4"/>
  <c r="AE104" i="4"/>
  <c r="AE105" i="4"/>
  <c r="AE106" i="4"/>
  <c r="AE107" i="4"/>
  <c r="AE108" i="4"/>
  <c r="AE109" i="4"/>
  <c r="AE110" i="4"/>
  <c r="AE111" i="4"/>
  <c r="AE112" i="4"/>
  <c r="AE61" i="4"/>
  <c r="AE113" i="4"/>
  <c r="AE114" i="4"/>
  <c r="AE115" i="4"/>
  <c r="AE116" i="4"/>
  <c r="AE49" i="4"/>
  <c r="AE117" i="4"/>
  <c r="AE118" i="4"/>
  <c r="AE119" i="4"/>
  <c r="AE120" i="4"/>
  <c r="AE7" i="4"/>
  <c r="B313" i="13"/>
  <c r="C313" i="13"/>
  <c r="B314" i="13"/>
  <c r="C314" i="13"/>
  <c r="B315" i="13"/>
  <c r="C315" i="13"/>
  <c r="W20" i="13"/>
  <c r="Z20" i="13"/>
  <c r="AB20" i="13"/>
  <c r="AC20" i="13" s="1"/>
  <c r="AF20" i="13"/>
  <c r="AH20" i="13"/>
  <c r="AJ20" i="13"/>
  <c r="AI20" i="13" s="1"/>
  <c r="AL20" i="13"/>
  <c r="AK20" i="13" s="1"/>
  <c r="AN20" i="13"/>
  <c r="AM20" i="13" s="1"/>
  <c r="AP20" i="13"/>
  <c r="AO20" i="13" s="1"/>
  <c r="W21" i="13"/>
  <c r="Z21" i="13"/>
  <c r="AB21" i="13"/>
  <c r="AC21" i="13" s="1"/>
  <c r="AF21" i="13"/>
  <c r="AH21" i="13"/>
  <c r="AI21" i="13"/>
  <c r="AJ21" i="13"/>
  <c r="AK21" i="13"/>
  <c r="AL21" i="13"/>
  <c r="AM21" i="13"/>
  <c r="AN21" i="13"/>
  <c r="AO21" i="13"/>
  <c r="AP21" i="13"/>
  <c r="W22" i="13"/>
  <c r="Z22" i="13"/>
  <c r="AB22" i="13"/>
  <c r="AC22" i="13" s="1"/>
  <c r="AF22" i="13"/>
  <c r="AH22" i="13"/>
  <c r="AJ22" i="13"/>
  <c r="AI22" i="13" s="1"/>
  <c r="AL22" i="13"/>
  <c r="AK22" i="13" s="1"/>
  <c r="AN22" i="13"/>
  <c r="AM22" i="13" s="1"/>
  <c r="AP22" i="13"/>
  <c r="AO22" i="13" s="1"/>
  <c r="A1" i="13"/>
  <c r="B312" i="13" s="1"/>
  <c r="C312" i="13"/>
  <c r="C311" i="13"/>
  <c r="C310" i="13"/>
  <c r="C309" i="13"/>
  <c r="C308" i="13"/>
  <c r="C307" i="13"/>
  <c r="C306" i="13"/>
  <c r="C305" i="13"/>
  <c r="C304" i="13"/>
  <c r="C303" i="13"/>
  <c r="C302" i="13"/>
  <c r="C301" i="13"/>
  <c r="C300" i="13"/>
  <c r="AP19" i="13"/>
  <c r="AO19" i="13" s="1"/>
  <c r="AN19" i="13"/>
  <c r="AM19" i="13" s="1"/>
  <c r="AL19" i="13"/>
  <c r="AK19" i="13" s="1"/>
  <c r="AJ19" i="13"/>
  <c r="AI19" i="13" s="1"/>
  <c r="AH19" i="13"/>
  <c r="AF19" i="13"/>
  <c r="AB19" i="13"/>
  <c r="Z19" i="13"/>
  <c r="AC19" i="13" s="1"/>
  <c r="W19" i="13"/>
  <c r="AP18" i="13"/>
  <c r="AO18" i="13" s="1"/>
  <c r="AN18" i="13"/>
  <c r="AM18" i="13" s="1"/>
  <c r="AL18" i="13"/>
  <c r="AK18" i="13" s="1"/>
  <c r="AJ18" i="13"/>
  <c r="AI18" i="13" s="1"/>
  <c r="AH18" i="13"/>
  <c r="AF18" i="13"/>
  <c r="AB18" i="13"/>
  <c r="Z18" i="13"/>
  <c r="W18" i="13"/>
  <c r="AP17" i="13"/>
  <c r="AO17" i="13" s="1"/>
  <c r="AN17" i="13"/>
  <c r="AM17" i="13" s="1"/>
  <c r="AL17" i="13"/>
  <c r="AK17" i="13" s="1"/>
  <c r="AJ17" i="13"/>
  <c r="AI17" i="13" s="1"/>
  <c r="AH17" i="13"/>
  <c r="AF17" i="13"/>
  <c r="AB17" i="13"/>
  <c r="Z17" i="13"/>
  <c r="AC17" i="13" s="1"/>
  <c r="W17" i="13"/>
  <c r="AP16" i="13"/>
  <c r="AO16" i="13" s="1"/>
  <c r="AN16" i="13"/>
  <c r="AM16" i="13" s="1"/>
  <c r="AL16" i="13"/>
  <c r="AK16" i="13" s="1"/>
  <c r="AJ16" i="13"/>
  <c r="AI16" i="13" s="1"/>
  <c r="AH16" i="13"/>
  <c r="AF16" i="13"/>
  <c r="AB16" i="13"/>
  <c r="Z16" i="13"/>
  <c r="W16" i="13"/>
  <c r="AP15" i="13"/>
  <c r="AO15" i="13" s="1"/>
  <c r="AN15" i="13"/>
  <c r="AM15" i="13" s="1"/>
  <c r="AL15" i="13"/>
  <c r="AK15" i="13" s="1"/>
  <c r="AJ15" i="13"/>
  <c r="AI15" i="13" s="1"/>
  <c r="AH15" i="13"/>
  <c r="AF15" i="13"/>
  <c r="AB15" i="13"/>
  <c r="Z15" i="13"/>
  <c r="AC15" i="13" s="1"/>
  <c r="W15" i="13"/>
  <c r="AP14" i="13"/>
  <c r="AO14" i="13" s="1"/>
  <c r="AN14" i="13"/>
  <c r="AM14" i="13" s="1"/>
  <c r="AL14" i="13"/>
  <c r="AK14" i="13" s="1"/>
  <c r="AJ14" i="13"/>
  <c r="AI14" i="13" s="1"/>
  <c r="AH14" i="13"/>
  <c r="AF14" i="13"/>
  <c r="AB14" i="13"/>
  <c r="Z14" i="13"/>
  <c r="W14" i="13"/>
  <c r="AP13" i="13"/>
  <c r="AO13" i="13" s="1"/>
  <c r="AN13" i="13"/>
  <c r="AM13" i="13" s="1"/>
  <c r="AL13" i="13"/>
  <c r="AK13" i="13" s="1"/>
  <c r="AJ13" i="13"/>
  <c r="AI13" i="13" s="1"/>
  <c r="AH13" i="13"/>
  <c r="AF13" i="13"/>
  <c r="AB13" i="13"/>
  <c r="Z13" i="13"/>
  <c r="AC13" i="13" s="1"/>
  <c r="W13" i="13"/>
  <c r="AP12" i="13"/>
  <c r="AO12" i="13" s="1"/>
  <c r="AN12" i="13"/>
  <c r="AM12" i="13" s="1"/>
  <c r="AL12" i="13"/>
  <c r="AK12" i="13" s="1"/>
  <c r="AJ12" i="13"/>
  <c r="AI12" i="13" s="1"/>
  <c r="AH12" i="13"/>
  <c r="AF12" i="13"/>
  <c r="AB12" i="13"/>
  <c r="Z12" i="13"/>
  <c r="W12" i="13"/>
  <c r="AP11" i="13"/>
  <c r="AO11" i="13" s="1"/>
  <c r="AN11" i="13"/>
  <c r="AM11" i="13" s="1"/>
  <c r="AL11" i="13"/>
  <c r="AK11" i="13" s="1"/>
  <c r="AJ11" i="13"/>
  <c r="AI11" i="13" s="1"/>
  <c r="AH11" i="13"/>
  <c r="AF11" i="13"/>
  <c r="AB11" i="13"/>
  <c r="Z11" i="13"/>
  <c r="AC11" i="13" s="1"/>
  <c r="W11" i="13"/>
  <c r="AP10" i="13"/>
  <c r="AO10" i="13" s="1"/>
  <c r="AN10" i="13"/>
  <c r="AM10" i="13" s="1"/>
  <c r="AL10" i="13"/>
  <c r="AK10" i="13" s="1"/>
  <c r="AJ10" i="13"/>
  <c r="AI10" i="13" s="1"/>
  <c r="AH10" i="13"/>
  <c r="AF10" i="13"/>
  <c r="AB10" i="13"/>
  <c r="Z10" i="13"/>
  <c r="W10" i="13"/>
  <c r="AP9" i="13"/>
  <c r="AO9" i="13" s="1"/>
  <c r="AN9" i="13"/>
  <c r="AM9" i="13" s="1"/>
  <c r="AL9" i="13"/>
  <c r="AK9" i="13" s="1"/>
  <c r="AJ9" i="13"/>
  <c r="AI9" i="13" s="1"/>
  <c r="AH9" i="13"/>
  <c r="AF9" i="13"/>
  <c r="AB9" i="13"/>
  <c r="Z9" i="13"/>
  <c r="AC9" i="13" s="1"/>
  <c r="W9" i="13"/>
  <c r="AP8" i="13"/>
  <c r="AO8" i="13" s="1"/>
  <c r="AN8" i="13"/>
  <c r="AM8" i="13" s="1"/>
  <c r="AL8" i="13"/>
  <c r="AK8" i="13" s="1"/>
  <c r="AJ8" i="13"/>
  <c r="AI8" i="13" s="1"/>
  <c r="AH8" i="13"/>
  <c r="AF8" i="13"/>
  <c r="AB8" i="13"/>
  <c r="Z8" i="13"/>
  <c r="W8" i="13"/>
  <c r="AP7" i="13"/>
  <c r="AO7" i="13" s="1"/>
  <c r="AN7" i="13"/>
  <c r="AM7" i="13" s="1"/>
  <c r="AL7" i="13"/>
  <c r="AJ7" i="13"/>
  <c r="AH7" i="13"/>
  <c r="AG7" i="13" s="1"/>
  <c r="AF7" i="13"/>
  <c r="AB7" i="13"/>
  <c r="Z7" i="13"/>
  <c r="AC7" i="13" s="1"/>
  <c r="W7" i="13"/>
  <c r="AF8" i="4" l="1"/>
  <c r="AF10" i="4"/>
  <c r="AF13" i="4"/>
  <c r="AF15" i="4"/>
  <c r="AF11" i="4"/>
  <c r="AF23" i="4"/>
  <c r="AF26" i="4"/>
  <c r="AF31" i="4"/>
  <c r="AF28" i="4"/>
  <c r="AF24" i="4"/>
  <c r="AF30" i="4"/>
  <c r="AF29" i="4"/>
  <c r="AF27" i="4"/>
  <c r="AF38" i="4"/>
  <c r="AF39" i="4"/>
  <c r="AF36" i="4"/>
  <c r="AF42" i="4"/>
  <c r="AF45" i="4"/>
  <c r="AF48" i="4"/>
  <c r="AF47" i="4"/>
  <c r="AF51" i="4"/>
  <c r="AF53" i="4"/>
  <c r="AF43" i="4"/>
  <c r="AF56" i="4"/>
  <c r="AF57" i="4"/>
  <c r="AF58" i="4"/>
  <c r="AF62" i="4"/>
  <c r="AF64" i="4"/>
  <c r="AF66" i="4"/>
  <c r="AF68" i="4"/>
  <c r="AF70" i="4"/>
  <c r="AF72" i="4"/>
  <c r="AF74" i="4"/>
  <c r="AF76" i="4"/>
  <c r="AF78" i="4"/>
  <c r="AF80" i="4"/>
  <c r="AF82" i="4"/>
  <c r="AF84" i="4"/>
  <c r="AF86" i="4"/>
  <c r="AF88" i="4"/>
  <c r="AF90" i="4"/>
  <c r="AF92" i="4"/>
  <c r="AF94" i="4"/>
  <c r="AF96" i="4"/>
  <c r="AF98" i="4"/>
  <c r="AF100" i="4"/>
  <c r="AF102" i="4"/>
  <c r="AF104" i="4"/>
  <c r="AF106" i="4"/>
  <c r="AF108" i="4"/>
  <c r="AF110" i="4"/>
  <c r="AF112" i="4"/>
  <c r="AF113" i="4"/>
  <c r="AF115" i="4"/>
  <c r="AF117" i="4"/>
  <c r="AF119" i="4"/>
  <c r="AF7" i="4"/>
  <c r="AF9" i="4"/>
  <c r="AF14" i="4"/>
  <c r="AF20" i="4"/>
  <c r="AF21" i="4"/>
  <c r="AF19" i="4"/>
  <c r="AF12" i="4"/>
  <c r="AF18" i="4"/>
  <c r="AF16" i="4"/>
  <c r="AF25" i="4"/>
  <c r="AF17" i="4"/>
  <c r="AF22" i="4"/>
  <c r="AF34" i="4"/>
  <c r="AF33" i="4"/>
  <c r="AF32" i="4"/>
  <c r="AF37" i="4"/>
  <c r="AF40" i="4"/>
  <c r="AF41" i="4"/>
  <c r="AF44" i="4"/>
  <c r="AF46" i="4"/>
  <c r="AF35" i="4"/>
  <c r="AF50" i="4"/>
  <c r="AF52" i="4"/>
  <c r="AF49" i="4"/>
  <c r="AF55" i="4"/>
  <c r="AF54" i="4"/>
  <c r="AF60" i="4"/>
  <c r="AF59" i="4"/>
  <c r="AF63" i="4"/>
  <c r="AF65" i="4"/>
  <c r="AF67" i="4"/>
  <c r="AF69" i="4"/>
  <c r="AF71" i="4"/>
  <c r="AF73" i="4"/>
  <c r="AF75" i="4"/>
  <c r="AF77" i="4"/>
  <c r="AF79" i="4"/>
  <c r="AF81" i="4"/>
  <c r="AF83" i="4"/>
  <c r="AF85" i="4"/>
  <c r="AF87" i="4"/>
  <c r="AF89" i="4"/>
  <c r="AF91" i="4"/>
  <c r="AF93" i="4"/>
  <c r="AF95" i="4"/>
  <c r="AF97" i="4"/>
  <c r="AF99" i="4"/>
  <c r="AF101" i="4"/>
  <c r="AF103" i="4"/>
  <c r="AF105" i="4"/>
  <c r="AF107" i="4"/>
  <c r="AF109" i="4"/>
  <c r="AF111" i="4"/>
  <c r="AF61" i="4"/>
  <c r="AF114" i="4"/>
  <c r="AF116" i="4"/>
  <c r="AF118" i="4"/>
  <c r="AF120" i="4"/>
  <c r="AC8" i="13"/>
  <c r="AC10" i="13"/>
  <c r="AC12" i="13"/>
  <c r="AC14" i="13"/>
  <c r="AC16" i="13"/>
  <c r="AC18" i="13"/>
  <c r="B300" i="13"/>
  <c r="B301" i="13"/>
  <c r="B302" i="13"/>
  <c r="B303" i="13"/>
  <c r="B304" i="13"/>
  <c r="B305" i="13"/>
  <c r="B306" i="13"/>
  <c r="B307" i="13"/>
  <c r="B308" i="13"/>
  <c r="B309" i="13"/>
  <c r="B310" i="13"/>
  <c r="B311" i="13"/>
  <c r="AD9" i="4"/>
  <c r="AD8" i="4"/>
  <c r="AD22" i="4"/>
  <c r="AD20" i="4"/>
  <c r="AD10" i="4"/>
  <c r="AD34" i="4"/>
  <c r="AD16" i="4"/>
  <c r="AD23" i="4"/>
  <c r="AD14" i="4"/>
  <c r="AD11" i="4"/>
  <c r="AD12" i="4"/>
  <c r="AD26" i="4"/>
  <c r="AD15" i="4"/>
  <c r="AD17" i="4"/>
  <c r="AD39" i="4"/>
  <c r="AD40" i="4"/>
  <c r="AD25" i="4"/>
  <c r="AD31" i="4"/>
  <c r="AD13" i="4"/>
  <c r="AD28" i="4"/>
  <c r="AD21" i="4"/>
  <c r="AD37" i="4"/>
  <c r="AD19" i="4"/>
  <c r="AD30" i="4"/>
  <c r="AD27" i="4"/>
  <c r="AD29" i="4"/>
  <c r="AD24" i="4"/>
  <c r="AD18" i="4"/>
  <c r="AD36" i="4"/>
  <c r="AD38" i="4"/>
  <c r="AD35" i="4"/>
  <c r="AD47" i="4"/>
  <c r="AD51" i="4"/>
  <c r="AD52" i="4"/>
  <c r="AD53" i="4"/>
  <c r="AD48" i="4"/>
  <c r="AD42" i="4"/>
  <c r="AD43" i="4"/>
  <c r="AD55" i="4"/>
  <c r="AD57" i="4"/>
  <c r="AD44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50" i="4"/>
  <c r="AD76" i="4"/>
  <c r="AD77" i="4"/>
  <c r="AD46" i="4"/>
  <c r="AD78" i="4"/>
  <c r="AD79" i="4"/>
  <c r="AD58" i="4"/>
  <c r="AD80" i="4"/>
  <c r="AD56" i="4"/>
  <c r="AD81" i="4"/>
  <c r="AD82" i="4"/>
  <c r="AD41" i="4"/>
  <c r="AD83" i="4"/>
  <c r="AD84" i="4"/>
  <c r="AD54" i="4"/>
  <c r="AD45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32" i="4"/>
  <c r="AD97" i="4"/>
  <c r="AD98" i="4"/>
  <c r="AD99" i="4"/>
  <c r="AD33" i="4"/>
  <c r="AD100" i="4"/>
  <c r="AD60" i="4"/>
  <c r="AD101" i="4"/>
  <c r="AD102" i="4"/>
  <c r="AD103" i="4"/>
  <c r="AD104" i="4"/>
  <c r="AD105" i="4"/>
  <c r="AD106" i="4"/>
  <c r="AD107" i="4"/>
  <c r="AD108" i="4"/>
  <c r="AD109" i="4"/>
  <c r="AD110" i="4"/>
  <c r="AD111" i="4"/>
  <c r="AD112" i="4"/>
  <c r="AD61" i="4"/>
  <c r="AD113" i="4"/>
  <c r="AD114" i="4"/>
  <c r="AD115" i="4"/>
  <c r="AD116" i="4"/>
  <c r="AD59" i="4"/>
  <c r="AD49" i="4"/>
  <c r="AD117" i="4"/>
  <c r="AD118" i="4"/>
  <c r="AD119" i="4"/>
  <c r="AD120" i="4"/>
  <c r="AD7" i="4"/>
  <c r="B314" i="12"/>
  <c r="C314" i="12"/>
  <c r="B315" i="12"/>
  <c r="C315" i="12"/>
  <c r="B316" i="12"/>
  <c r="C316" i="12"/>
  <c r="B317" i="12"/>
  <c r="C317" i="12"/>
  <c r="W21" i="12"/>
  <c r="Z21" i="12"/>
  <c r="AB21" i="12"/>
  <c r="AC21" i="12" s="1"/>
  <c r="AF21" i="12"/>
  <c r="AH21" i="12"/>
  <c r="AJ21" i="12"/>
  <c r="AI21" i="12" s="1"/>
  <c r="AL21" i="12"/>
  <c r="AK21" i="12" s="1"/>
  <c r="AN21" i="12"/>
  <c r="AM21" i="12" s="1"/>
  <c r="AP21" i="12"/>
  <c r="AO21" i="12" s="1"/>
  <c r="W22" i="12"/>
  <c r="Z22" i="12"/>
  <c r="AB22" i="12"/>
  <c r="AC22" i="12" s="1"/>
  <c r="AF22" i="12"/>
  <c r="AH22" i="12"/>
  <c r="AI22" i="12"/>
  <c r="AJ22" i="12"/>
  <c r="AK22" i="12"/>
  <c r="AL22" i="12"/>
  <c r="AM22" i="12"/>
  <c r="AN22" i="12"/>
  <c r="AO22" i="12"/>
  <c r="AP22" i="12"/>
  <c r="W23" i="12"/>
  <c r="Z23" i="12"/>
  <c r="AB23" i="12"/>
  <c r="AC23" i="12" s="1"/>
  <c r="AF23" i="12"/>
  <c r="AH23" i="12"/>
  <c r="AJ23" i="12"/>
  <c r="AI23" i="12" s="1"/>
  <c r="AL23" i="12"/>
  <c r="AK23" i="12" s="1"/>
  <c r="AN23" i="12"/>
  <c r="AM23" i="12" s="1"/>
  <c r="AP23" i="12"/>
  <c r="AO23" i="12" s="1"/>
  <c r="W24" i="12"/>
  <c r="Z24" i="12"/>
  <c r="AB24" i="12"/>
  <c r="AC24" i="12"/>
  <c r="AF24" i="12"/>
  <c r="AH24" i="12"/>
  <c r="AJ24" i="12"/>
  <c r="AI24" i="12" s="1"/>
  <c r="AL24" i="12"/>
  <c r="AK24" i="12" s="1"/>
  <c r="AN24" i="12"/>
  <c r="AM24" i="12" s="1"/>
  <c r="AP24" i="12"/>
  <c r="AO24" i="12" s="1"/>
  <c r="B313" i="12"/>
  <c r="C313" i="12"/>
  <c r="W20" i="12"/>
  <c r="Z20" i="12"/>
  <c r="AB20" i="12"/>
  <c r="AF20" i="12"/>
  <c r="AH20" i="12"/>
  <c r="AJ20" i="12"/>
  <c r="AI20" i="12" s="1"/>
  <c r="AL20" i="12"/>
  <c r="AK20" i="12" s="1"/>
  <c r="AN20" i="12"/>
  <c r="AM20" i="12" s="1"/>
  <c r="AP20" i="12"/>
  <c r="AO20" i="12" s="1"/>
  <c r="A1" i="12"/>
  <c r="B312" i="12" s="1"/>
  <c r="C312" i="12"/>
  <c r="C311" i="12"/>
  <c r="C310" i="12"/>
  <c r="C309" i="12"/>
  <c r="C308" i="12"/>
  <c r="C307" i="12"/>
  <c r="C306" i="12"/>
  <c r="C305" i="12"/>
  <c r="C304" i="12"/>
  <c r="C303" i="12"/>
  <c r="C302" i="12"/>
  <c r="C301" i="12"/>
  <c r="C300" i="12"/>
  <c r="AP19" i="12"/>
  <c r="AO19" i="12" s="1"/>
  <c r="AN19" i="12"/>
  <c r="AM19" i="12" s="1"/>
  <c r="AL19" i="12"/>
  <c r="AK19" i="12" s="1"/>
  <c r="AJ19" i="12"/>
  <c r="AI19" i="12" s="1"/>
  <c r="AH19" i="12"/>
  <c r="AF19" i="12"/>
  <c r="AB19" i="12"/>
  <c r="Z19" i="12"/>
  <c r="W19" i="12"/>
  <c r="AP18" i="12"/>
  <c r="AO18" i="12"/>
  <c r="AN18" i="12"/>
  <c r="AM18" i="12"/>
  <c r="AL18" i="12"/>
  <c r="AK18" i="12"/>
  <c r="AJ18" i="12"/>
  <c r="AI18" i="12"/>
  <c r="AH18" i="12"/>
  <c r="AF18" i="12"/>
  <c r="AB18" i="12"/>
  <c r="Z18" i="12"/>
  <c r="AC18" i="12" s="1"/>
  <c r="W18" i="12"/>
  <c r="AP17" i="12"/>
  <c r="AO17" i="12" s="1"/>
  <c r="AN17" i="12"/>
  <c r="AM17" i="12" s="1"/>
  <c r="AL17" i="12"/>
  <c r="AK17" i="12" s="1"/>
  <c r="AJ17" i="12"/>
  <c r="AI17" i="12" s="1"/>
  <c r="AH17" i="12"/>
  <c r="AF17" i="12"/>
  <c r="AB17" i="12"/>
  <c r="Z17" i="12"/>
  <c r="W17" i="12"/>
  <c r="AP16" i="12"/>
  <c r="AO16" i="12"/>
  <c r="AN16" i="12"/>
  <c r="AM16" i="12"/>
  <c r="AL16" i="12"/>
  <c r="AK16" i="12"/>
  <c r="AJ16" i="12"/>
  <c r="AI16" i="12"/>
  <c r="AH16" i="12"/>
  <c r="AF16" i="12"/>
  <c r="AB16" i="12"/>
  <c r="Z16" i="12"/>
  <c r="AC16" i="12" s="1"/>
  <c r="W16" i="12"/>
  <c r="AP15" i="12"/>
  <c r="AO15" i="12" s="1"/>
  <c r="AN15" i="12"/>
  <c r="AM15" i="12" s="1"/>
  <c r="AL15" i="12"/>
  <c r="AK15" i="12" s="1"/>
  <c r="AJ15" i="12"/>
  <c r="AI15" i="12" s="1"/>
  <c r="AH15" i="12"/>
  <c r="AF15" i="12"/>
  <c r="AB15" i="12"/>
  <c r="Z15" i="12"/>
  <c r="W15" i="12"/>
  <c r="AP14" i="12"/>
  <c r="AO14" i="12"/>
  <c r="AN14" i="12"/>
  <c r="AM14" i="12"/>
  <c r="AL14" i="12"/>
  <c r="AK14" i="12"/>
  <c r="AJ14" i="12"/>
  <c r="AI14" i="12"/>
  <c r="AH14" i="12"/>
  <c r="AF14" i="12"/>
  <c r="AB14" i="12"/>
  <c r="Z14" i="12"/>
  <c r="AC14" i="12" s="1"/>
  <c r="W14" i="12"/>
  <c r="AP13" i="12"/>
  <c r="AO13" i="12" s="1"/>
  <c r="AN13" i="12"/>
  <c r="AM13" i="12" s="1"/>
  <c r="AL13" i="12"/>
  <c r="AK13" i="12" s="1"/>
  <c r="AJ13" i="12"/>
  <c r="AI13" i="12" s="1"/>
  <c r="AH13" i="12"/>
  <c r="AF13" i="12"/>
  <c r="AB13" i="12"/>
  <c r="Z13" i="12"/>
  <c r="W13" i="12"/>
  <c r="AP12" i="12"/>
  <c r="AO12" i="12"/>
  <c r="AN12" i="12"/>
  <c r="AM12" i="12"/>
  <c r="AL12" i="12"/>
  <c r="AK12" i="12"/>
  <c r="AJ12" i="12"/>
  <c r="AI12" i="12"/>
  <c r="AH12" i="12"/>
  <c r="AF12" i="12"/>
  <c r="AB12" i="12"/>
  <c r="Z12" i="12"/>
  <c r="AC12" i="12" s="1"/>
  <c r="W12" i="12"/>
  <c r="AP11" i="12"/>
  <c r="AO11" i="12" s="1"/>
  <c r="AN11" i="12"/>
  <c r="AM11" i="12" s="1"/>
  <c r="AL11" i="12"/>
  <c r="AK11" i="12" s="1"/>
  <c r="AJ11" i="12"/>
  <c r="AI11" i="12" s="1"/>
  <c r="AH11" i="12"/>
  <c r="AF11" i="12"/>
  <c r="AB11" i="12"/>
  <c r="Z11" i="12"/>
  <c r="W11" i="12"/>
  <c r="AP10" i="12"/>
  <c r="AO10" i="12"/>
  <c r="AN10" i="12"/>
  <c r="AM10" i="12"/>
  <c r="AL10" i="12"/>
  <c r="AK10" i="12"/>
  <c r="AJ10" i="12"/>
  <c r="AI10" i="12"/>
  <c r="AH10" i="12"/>
  <c r="AF10" i="12"/>
  <c r="AB10" i="12"/>
  <c r="Z10" i="12"/>
  <c r="AC10" i="12" s="1"/>
  <c r="W10" i="12"/>
  <c r="AP9" i="12"/>
  <c r="AO9" i="12" s="1"/>
  <c r="AN9" i="12"/>
  <c r="AM9" i="12" s="1"/>
  <c r="AL9" i="12"/>
  <c r="AK9" i="12" s="1"/>
  <c r="AJ9" i="12"/>
  <c r="AI9" i="12" s="1"/>
  <c r="AH9" i="12"/>
  <c r="AF9" i="12"/>
  <c r="AB9" i="12"/>
  <c r="Z9" i="12"/>
  <c r="W9" i="12"/>
  <c r="AP8" i="12"/>
  <c r="AO8" i="12"/>
  <c r="AN8" i="12"/>
  <c r="AM8" i="12"/>
  <c r="AL8" i="12"/>
  <c r="AK8" i="12"/>
  <c r="AJ8" i="12"/>
  <c r="AI8" i="12"/>
  <c r="AH8" i="12"/>
  <c r="AF8" i="12"/>
  <c r="AB8" i="12"/>
  <c r="Z8" i="12"/>
  <c r="AC8" i="12" s="1"/>
  <c r="W8" i="12"/>
  <c r="AP7" i="12"/>
  <c r="AO7" i="12" s="1"/>
  <c r="AN7" i="12"/>
  <c r="AM7" i="12" s="1"/>
  <c r="AL7" i="12"/>
  <c r="AK7" i="12" s="1"/>
  <c r="AJ7" i="12"/>
  <c r="AI7" i="12" s="1"/>
  <c r="AH7" i="12"/>
  <c r="AF7" i="12"/>
  <c r="AB7" i="12"/>
  <c r="Z7" i="12"/>
  <c r="W7" i="12"/>
  <c r="AC20" i="12" l="1"/>
  <c r="AC7" i="12"/>
  <c r="AC9" i="12"/>
  <c r="AC11" i="12"/>
  <c r="AC13" i="12"/>
  <c r="AC15" i="12"/>
  <c r="AC17" i="12"/>
  <c r="AC19" i="12"/>
  <c r="B300" i="12"/>
  <c r="B301" i="12"/>
  <c r="B302" i="12"/>
  <c r="B303" i="12"/>
  <c r="B304" i="12"/>
  <c r="B305" i="12"/>
  <c r="B306" i="12"/>
  <c r="B307" i="12"/>
  <c r="B308" i="12"/>
  <c r="B309" i="12"/>
  <c r="B310" i="12"/>
  <c r="B311" i="12"/>
  <c r="V9" i="4"/>
  <c r="Z9" i="4"/>
  <c r="AA9" i="4"/>
  <c r="AV9" i="4" s="1"/>
  <c r="AB9" i="4"/>
  <c r="AC9" i="4"/>
  <c r="AX9" i="4" s="1"/>
  <c r="AM9" i="4"/>
  <c r="AU9" i="4"/>
  <c r="AW9" i="4"/>
  <c r="AY9" i="4"/>
  <c r="AZ9" i="4"/>
  <c r="BA9" i="4"/>
  <c r="BB9" i="4"/>
  <c r="BC9" i="4"/>
  <c r="BD9" i="4"/>
  <c r="BM9" i="4"/>
  <c r="BN9" i="4"/>
  <c r="BO9" i="4"/>
  <c r="BP9" i="4"/>
  <c r="BQ9" i="4"/>
  <c r="BR9" i="4"/>
  <c r="V8" i="4"/>
  <c r="Z8" i="4"/>
  <c r="AA8" i="4"/>
  <c r="AB8" i="4"/>
  <c r="AC8" i="4"/>
  <c r="AM8" i="4"/>
  <c r="AN8" i="4"/>
  <c r="AU8" i="4"/>
  <c r="AV8" i="4"/>
  <c r="AW8" i="4"/>
  <c r="AX8" i="4"/>
  <c r="AY8" i="4"/>
  <c r="AZ8" i="4"/>
  <c r="BA8" i="4"/>
  <c r="BB8" i="4"/>
  <c r="BC8" i="4"/>
  <c r="BD8" i="4"/>
  <c r="BM8" i="4"/>
  <c r="BN8" i="4"/>
  <c r="BO8" i="4"/>
  <c r="BP8" i="4"/>
  <c r="BQ8" i="4"/>
  <c r="BR8" i="4"/>
  <c r="V22" i="4"/>
  <c r="Z22" i="4"/>
  <c r="AU22" i="4" s="1"/>
  <c r="AA22" i="4"/>
  <c r="AB22" i="4"/>
  <c r="AW22" i="4" s="1"/>
  <c r="AC22" i="4"/>
  <c r="AM22" i="4"/>
  <c r="AV22" i="4"/>
  <c r="AX22" i="4"/>
  <c r="AY22" i="4"/>
  <c r="AZ22" i="4"/>
  <c r="BA22" i="4"/>
  <c r="BB22" i="4"/>
  <c r="BC22" i="4"/>
  <c r="BD22" i="4"/>
  <c r="BM22" i="4"/>
  <c r="BN22" i="4"/>
  <c r="BO22" i="4"/>
  <c r="BP22" i="4"/>
  <c r="BQ22" i="4"/>
  <c r="BR22" i="4"/>
  <c r="V20" i="4"/>
  <c r="Z20" i="4"/>
  <c r="AU20" i="4" s="1"/>
  <c r="AA20" i="4"/>
  <c r="AV20" i="4" s="1"/>
  <c r="AB20" i="4"/>
  <c r="AC20" i="4"/>
  <c r="AM20" i="4"/>
  <c r="AX20" i="4"/>
  <c r="AY20" i="4"/>
  <c r="AZ20" i="4"/>
  <c r="BA20" i="4"/>
  <c r="BB20" i="4"/>
  <c r="BC20" i="4"/>
  <c r="BD20" i="4"/>
  <c r="BM20" i="4"/>
  <c r="BN20" i="4"/>
  <c r="BO20" i="4"/>
  <c r="BP20" i="4"/>
  <c r="BQ20" i="4"/>
  <c r="BR20" i="4"/>
  <c r="V10" i="4"/>
  <c r="Z10" i="4"/>
  <c r="AU10" i="4" s="1"/>
  <c r="AA10" i="4"/>
  <c r="AB10" i="4"/>
  <c r="AW10" i="4" s="1"/>
  <c r="AC10" i="4"/>
  <c r="AX10" i="4" s="1"/>
  <c r="AM10" i="4"/>
  <c r="AV10" i="4"/>
  <c r="AY10" i="4"/>
  <c r="AZ10" i="4"/>
  <c r="BA10" i="4"/>
  <c r="BB10" i="4"/>
  <c r="BC10" i="4"/>
  <c r="BD10" i="4"/>
  <c r="BM10" i="4"/>
  <c r="BN10" i="4"/>
  <c r="BO10" i="4"/>
  <c r="BP10" i="4"/>
  <c r="BQ10" i="4"/>
  <c r="BR10" i="4"/>
  <c r="V34" i="4"/>
  <c r="Z34" i="4"/>
  <c r="AU34" i="4" s="1"/>
  <c r="AA34" i="4"/>
  <c r="AB34" i="4"/>
  <c r="AW34" i="4" s="1"/>
  <c r="AC34" i="4"/>
  <c r="AX34" i="4" s="1"/>
  <c r="AM34" i="4"/>
  <c r="AV34" i="4"/>
  <c r="AY34" i="4"/>
  <c r="AZ34" i="4"/>
  <c r="BA34" i="4"/>
  <c r="BB34" i="4"/>
  <c r="BC34" i="4"/>
  <c r="BD34" i="4"/>
  <c r="BM34" i="4"/>
  <c r="BN34" i="4"/>
  <c r="BO34" i="4"/>
  <c r="BP34" i="4"/>
  <c r="BQ34" i="4"/>
  <c r="BR34" i="4"/>
  <c r="V16" i="4"/>
  <c r="Z16" i="4"/>
  <c r="AA16" i="4"/>
  <c r="AB16" i="4"/>
  <c r="AC16" i="4"/>
  <c r="AM16" i="4"/>
  <c r="AV16" i="4"/>
  <c r="AX16" i="4"/>
  <c r="AY16" i="4"/>
  <c r="AZ16" i="4"/>
  <c r="BA16" i="4"/>
  <c r="BB16" i="4"/>
  <c r="BC16" i="4"/>
  <c r="BD16" i="4"/>
  <c r="BM16" i="4"/>
  <c r="BN16" i="4"/>
  <c r="BO16" i="4"/>
  <c r="BP16" i="4"/>
  <c r="BQ16" i="4"/>
  <c r="BR16" i="4"/>
  <c r="V23" i="4"/>
  <c r="Z23" i="4"/>
  <c r="AU23" i="4" s="1"/>
  <c r="AA23" i="4"/>
  <c r="AB23" i="4"/>
  <c r="AN23" i="4" s="1"/>
  <c r="AC23" i="4"/>
  <c r="AM23" i="4"/>
  <c r="AV23" i="4"/>
  <c r="AX23" i="4"/>
  <c r="AY23" i="4"/>
  <c r="AZ23" i="4"/>
  <c r="BA23" i="4"/>
  <c r="BB23" i="4"/>
  <c r="BC23" i="4"/>
  <c r="BD23" i="4"/>
  <c r="BM23" i="4"/>
  <c r="BN23" i="4"/>
  <c r="BO23" i="4"/>
  <c r="BP23" i="4"/>
  <c r="BQ23" i="4"/>
  <c r="BR23" i="4"/>
  <c r="V14" i="4"/>
  <c r="Z14" i="4"/>
  <c r="AA14" i="4"/>
  <c r="AB14" i="4"/>
  <c r="AW14" i="4" s="1"/>
  <c r="AC14" i="4"/>
  <c r="AX14" i="4" s="1"/>
  <c r="AM14" i="4"/>
  <c r="AV14" i="4"/>
  <c r="AY14" i="4"/>
  <c r="AZ14" i="4"/>
  <c r="BA14" i="4"/>
  <c r="BB14" i="4"/>
  <c r="BC14" i="4"/>
  <c r="BD14" i="4"/>
  <c r="BM14" i="4"/>
  <c r="BN14" i="4"/>
  <c r="BO14" i="4"/>
  <c r="BP14" i="4"/>
  <c r="BQ14" i="4"/>
  <c r="BR14" i="4"/>
  <c r="V11" i="4"/>
  <c r="Z11" i="4"/>
  <c r="AA11" i="4"/>
  <c r="AB11" i="4"/>
  <c r="AC11" i="4"/>
  <c r="AX11" i="4" s="1"/>
  <c r="AM11" i="4"/>
  <c r="AU11" i="4"/>
  <c r="AW11" i="4"/>
  <c r="AY11" i="4"/>
  <c r="AZ11" i="4"/>
  <c r="BA11" i="4"/>
  <c r="BB11" i="4"/>
  <c r="BC11" i="4"/>
  <c r="BD11" i="4"/>
  <c r="BM11" i="4"/>
  <c r="BN11" i="4"/>
  <c r="BO11" i="4"/>
  <c r="BP11" i="4"/>
  <c r="BQ11" i="4"/>
  <c r="BR11" i="4"/>
  <c r="V12" i="4"/>
  <c r="Z12" i="4"/>
  <c r="AU12" i="4" s="1"/>
  <c r="AA12" i="4"/>
  <c r="AB12" i="4"/>
  <c r="AW12" i="4" s="1"/>
  <c r="AC12" i="4"/>
  <c r="AX12" i="4" s="1"/>
  <c r="AM12" i="4"/>
  <c r="AV12" i="4"/>
  <c r="AY12" i="4"/>
  <c r="AZ12" i="4"/>
  <c r="BA12" i="4"/>
  <c r="BB12" i="4"/>
  <c r="BC12" i="4"/>
  <c r="BD12" i="4"/>
  <c r="BM12" i="4"/>
  <c r="BN12" i="4"/>
  <c r="BO12" i="4"/>
  <c r="BP12" i="4"/>
  <c r="BQ12" i="4"/>
  <c r="BR12" i="4"/>
  <c r="V26" i="4"/>
  <c r="Z26" i="4"/>
  <c r="AU26" i="4" s="1"/>
  <c r="AA26" i="4"/>
  <c r="AB26" i="4"/>
  <c r="AW26" i="4" s="1"/>
  <c r="AC26" i="4"/>
  <c r="AM26" i="4"/>
  <c r="AV26" i="4"/>
  <c r="AX26" i="4"/>
  <c r="AY26" i="4"/>
  <c r="AZ26" i="4"/>
  <c r="BA26" i="4"/>
  <c r="BB26" i="4"/>
  <c r="BC26" i="4"/>
  <c r="BD26" i="4"/>
  <c r="BM26" i="4"/>
  <c r="BN26" i="4"/>
  <c r="BO26" i="4"/>
  <c r="BP26" i="4"/>
  <c r="BQ26" i="4"/>
  <c r="BR26" i="4"/>
  <c r="V15" i="4"/>
  <c r="Z15" i="4"/>
  <c r="AU15" i="4" s="1"/>
  <c r="AA15" i="4"/>
  <c r="AV15" i="4" s="1"/>
  <c r="AB15" i="4"/>
  <c r="AW15" i="4" s="1"/>
  <c r="AC15" i="4"/>
  <c r="AX15" i="4" s="1"/>
  <c r="AM15" i="4"/>
  <c r="AY15" i="4"/>
  <c r="AZ15" i="4"/>
  <c r="BA15" i="4"/>
  <c r="BB15" i="4"/>
  <c r="BC15" i="4"/>
  <c r="BD15" i="4"/>
  <c r="BM15" i="4"/>
  <c r="BN15" i="4"/>
  <c r="BO15" i="4"/>
  <c r="BP15" i="4"/>
  <c r="BQ15" i="4"/>
  <c r="BR15" i="4"/>
  <c r="V17" i="4"/>
  <c r="Z17" i="4"/>
  <c r="AU17" i="4" s="1"/>
  <c r="AA17" i="4"/>
  <c r="AB17" i="4"/>
  <c r="AW17" i="4" s="1"/>
  <c r="AC17" i="4"/>
  <c r="AX17" i="4" s="1"/>
  <c r="AM17" i="4"/>
  <c r="AV17" i="4"/>
  <c r="AY17" i="4"/>
  <c r="AZ17" i="4"/>
  <c r="BA17" i="4"/>
  <c r="BB17" i="4"/>
  <c r="BC17" i="4"/>
  <c r="BD17" i="4"/>
  <c r="BM17" i="4"/>
  <c r="BN17" i="4"/>
  <c r="BO17" i="4"/>
  <c r="BP17" i="4"/>
  <c r="BQ17" i="4"/>
  <c r="BR17" i="4"/>
  <c r="V39" i="4"/>
  <c r="Z39" i="4"/>
  <c r="AA39" i="4"/>
  <c r="AB39" i="4"/>
  <c r="AC39" i="4"/>
  <c r="AX39" i="4" s="1"/>
  <c r="AM39" i="4"/>
  <c r="AV39" i="4"/>
  <c r="AY39" i="4"/>
  <c r="AZ39" i="4"/>
  <c r="BA39" i="4"/>
  <c r="BB39" i="4"/>
  <c r="BC39" i="4"/>
  <c r="BD39" i="4"/>
  <c r="BM39" i="4"/>
  <c r="BN39" i="4"/>
  <c r="BO39" i="4"/>
  <c r="BP39" i="4"/>
  <c r="BQ39" i="4"/>
  <c r="BR39" i="4"/>
  <c r="V40" i="4"/>
  <c r="Z40" i="4"/>
  <c r="AU40" i="4" s="1"/>
  <c r="AA40" i="4"/>
  <c r="AV40" i="4" s="1"/>
  <c r="AB40" i="4"/>
  <c r="AW40" i="4" s="1"/>
  <c r="AC40" i="4"/>
  <c r="AM40" i="4"/>
  <c r="AX40" i="4"/>
  <c r="AY40" i="4"/>
  <c r="AZ40" i="4"/>
  <c r="BA40" i="4"/>
  <c r="BB40" i="4"/>
  <c r="BC40" i="4"/>
  <c r="BD40" i="4"/>
  <c r="BM40" i="4"/>
  <c r="BN40" i="4"/>
  <c r="BO40" i="4"/>
  <c r="BP40" i="4"/>
  <c r="BQ40" i="4"/>
  <c r="BR40" i="4"/>
  <c r="V25" i="4"/>
  <c r="Z25" i="4"/>
  <c r="AA25" i="4"/>
  <c r="AB25" i="4"/>
  <c r="AW25" i="4" s="1"/>
  <c r="AC25" i="4"/>
  <c r="AX25" i="4" s="1"/>
  <c r="AM25" i="4"/>
  <c r="AV25" i="4"/>
  <c r="AY25" i="4"/>
  <c r="AZ25" i="4"/>
  <c r="BA25" i="4"/>
  <c r="BB25" i="4"/>
  <c r="BC25" i="4"/>
  <c r="BD25" i="4"/>
  <c r="BM25" i="4"/>
  <c r="BN25" i="4"/>
  <c r="BO25" i="4"/>
  <c r="BP25" i="4"/>
  <c r="BQ25" i="4"/>
  <c r="BR25" i="4"/>
  <c r="V31" i="4"/>
  <c r="Z31" i="4"/>
  <c r="AU31" i="4" s="1"/>
  <c r="AA31" i="4"/>
  <c r="AB31" i="4"/>
  <c r="AW31" i="4" s="1"/>
  <c r="AC31" i="4"/>
  <c r="AM31" i="4"/>
  <c r="AV31" i="4"/>
  <c r="AX31" i="4"/>
  <c r="AY31" i="4"/>
  <c r="AZ31" i="4"/>
  <c r="BA31" i="4"/>
  <c r="BB31" i="4"/>
  <c r="BC31" i="4"/>
  <c r="BD31" i="4"/>
  <c r="BM31" i="4"/>
  <c r="BN31" i="4"/>
  <c r="BO31" i="4"/>
  <c r="BP31" i="4"/>
  <c r="BQ31" i="4"/>
  <c r="BR31" i="4"/>
  <c r="V13" i="4"/>
  <c r="Z13" i="4"/>
  <c r="AA13" i="4"/>
  <c r="AB13" i="4"/>
  <c r="AC13" i="4"/>
  <c r="AX13" i="4" s="1"/>
  <c r="AM13" i="4"/>
  <c r="AV13" i="4"/>
  <c r="AY13" i="4"/>
  <c r="AZ13" i="4"/>
  <c r="BA13" i="4"/>
  <c r="BB13" i="4"/>
  <c r="BC13" i="4"/>
  <c r="BD13" i="4"/>
  <c r="BM13" i="4"/>
  <c r="BN13" i="4"/>
  <c r="BO13" i="4"/>
  <c r="BP13" i="4"/>
  <c r="BQ13" i="4"/>
  <c r="BR13" i="4"/>
  <c r="V28" i="4"/>
  <c r="Z28" i="4"/>
  <c r="AU28" i="4" s="1"/>
  <c r="AA28" i="4"/>
  <c r="AB28" i="4"/>
  <c r="AW28" i="4" s="1"/>
  <c r="AC28" i="4"/>
  <c r="AX28" i="4" s="1"/>
  <c r="AM28" i="4"/>
  <c r="AV28" i="4"/>
  <c r="AY28" i="4"/>
  <c r="AZ28" i="4"/>
  <c r="BA28" i="4"/>
  <c r="BB28" i="4"/>
  <c r="BC28" i="4"/>
  <c r="BD28" i="4"/>
  <c r="BM28" i="4"/>
  <c r="BN28" i="4"/>
  <c r="BO28" i="4"/>
  <c r="BP28" i="4"/>
  <c r="BQ28" i="4"/>
  <c r="BR28" i="4"/>
  <c r="V21" i="4"/>
  <c r="Z21" i="4"/>
  <c r="AA21" i="4"/>
  <c r="AB21" i="4"/>
  <c r="AW21" i="4" s="1"/>
  <c r="AC21" i="4"/>
  <c r="AX21" i="4" s="1"/>
  <c r="AM21" i="4"/>
  <c r="AV21" i="4"/>
  <c r="AY21" i="4"/>
  <c r="AZ21" i="4"/>
  <c r="BA21" i="4"/>
  <c r="BB21" i="4"/>
  <c r="BC21" i="4"/>
  <c r="BD21" i="4"/>
  <c r="BM21" i="4"/>
  <c r="BN21" i="4"/>
  <c r="BO21" i="4"/>
  <c r="BP21" i="4"/>
  <c r="BQ21" i="4"/>
  <c r="BR21" i="4"/>
  <c r="V37" i="4"/>
  <c r="Z37" i="4"/>
  <c r="AA37" i="4"/>
  <c r="AV37" i="4" s="1"/>
  <c r="AB37" i="4"/>
  <c r="AW37" i="4" s="1"/>
  <c r="AC37" i="4"/>
  <c r="AX37" i="4" s="1"/>
  <c r="AM37" i="4"/>
  <c r="AU37" i="4"/>
  <c r="AY37" i="4"/>
  <c r="AZ37" i="4"/>
  <c r="BA37" i="4"/>
  <c r="BB37" i="4"/>
  <c r="BC37" i="4"/>
  <c r="BD37" i="4"/>
  <c r="BM37" i="4"/>
  <c r="BN37" i="4"/>
  <c r="BO37" i="4"/>
  <c r="BP37" i="4"/>
  <c r="BQ37" i="4"/>
  <c r="BR37" i="4"/>
  <c r="V19" i="4"/>
  <c r="Z19" i="4"/>
  <c r="AA19" i="4"/>
  <c r="AB19" i="4"/>
  <c r="AC19" i="4"/>
  <c r="AX19" i="4" s="1"/>
  <c r="AM19" i="4"/>
  <c r="AV19" i="4"/>
  <c r="AY19" i="4"/>
  <c r="AZ19" i="4"/>
  <c r="BA19" i="4"/>
  <c r="BB19" i="4"/>
  <c r="BC19" i="4"/>
  <c r="BD19" i="4"/>
  <c r="BM19" i="4"/>
  <c r="BN19" i="4"/>
  <c r="BO19" i="4"/>
  <c r="BP19" i="4"/>
  <c r="BQ19" i="4"/>
  <c r="BR19" i="4"/>
  <c r="V30" i="4"/>
  <c r="Z30" i="4"/>
  <c r="AU30" i="4" s="1"/>
  <c r="AA30" i="4"/>
  <c r="AB30" i="4"/>
  <c r="AW30" i="4" s="1"/>
  <c r="AC30" i="4"/>
  <c r="AX30" i="4" s="1"/>
  <c r="AM30" i="4"/>
  <c r="AV30" i="4"/>
  <c r="AY30" i="4"/>
  <c r="AZ30" i="4"/>
  <c r="BA30" i="4"/>
  <c r="BB30" i="4"/>
  <c r="BC30" i="4"/>
  <c r="BD30" i="4"/>
  <c r="BM30" i="4"/>
  <c r="BN30" i="4"/>
  <c r="BO30" i="4"/>
  <c r="BP30" i="4"/>
  <c r="BQ30" i="4"/>
  <c r="BR30" i="4"/>
  <c r="V27" i="4"/>
  <c r="Z27" i="4"/>
  <c r="AA27" i="4"/>
  <c r="AB27" i="4"/>
  <c r="AW27" i="4" s="1"/>
  <c r="AC27" i="4"/>
  <c r="AX27" i="4" s="1"/>
  <c r="AM27" i="4"/>
  <c r="AV27" i="4"/>
  <c r="AY27" i="4"/>
  <c r="AZ27" i="4"/>
  <c r="BA27" i="4"/>
  <c r="BB27" i="4"/>
  <c r="BC27" i="4"/>
  <c r="BD27" i="4"/>
  <c r="BM27" i="4"/>
  <c r="BN27" i="4"/>
  <c r="BO27" i="4"/>
  <c r="BP27" i="4"/>
  <c r="BQ27" i="4"/>
  <c r="BR27" i="4"/>
  <c r="V29" i="4"/>
  <c r="Z29" i="4"/>
  <c r="AU29" i="4" s="1"/>
  <c r="AA29" i="4"/>
  <c r="AB29" i="4"/>
  <c r="AW29" i="4" s="1"/>
  <c r="AC29" i="4"/>
  <c r="AX29" i="4" s="1"/>
  <c r="AM29" i="4"/>
  <c r="AV29" i="4"/>
  <c r="AY29" i="4"/>
  <c r="AZ29" i="4"/>
  <c r="BA29" i="4"/>
  <c r="BB29" i="4"/>
  <c r="BC29" i="4"/>
  <c r="BD29" i="4"/>
  <c r="BM29" i="4"/>
  <c r="BN29" i="4"/>
  <c r="BO29" i="4"/>
  <c r="BP29" i="4"/>
  <c r="BQ29" i="4"/>
  <c r="BR29" i="4"/>
  <c r="V24" i="4"/>
  <c r="Z24" i="4"/>
  <c r="AA24" i="4"/>
  <c r="AB24" i="4"/>
  <c r="AC24" i="4"/>
  <c r="AX24" i="4" s="1"/>
  <c r="AM24" i="4"/>
  <c r="AV24" i="4"/>
  <c r="AY24" i="4"/>
  <c r="AZ24" i="4"/>
  <c r="BA24" i="4"/>
  <c r="BB24" i="4"/>
  <c r="BC24" i="4"/>
  <c r="BD24" i="4"/>
  <c r="BM24" i="4"/>
  <c r="BN24" i="4"/>
  <c r="BO24" i="4"/>
  <c r="BP24" i="4"/>
  <c r="BQ24" i="4"/>
  <c r="BR24" i="4"/>
  <c r="V18" i="4"/>
  <c r="Z18" i="4"/>
  <c r="AU18" i="4" s="1"/>
  <c r="AA18" i="4"/>
  <c r="AV18" i="4" s="1"/>
  <c r="AB18" i="4"/>
  <c r="AW18" i="4" s="1"/>
  <c r="AC18" i="4"/>
  <c r="AX18" i="4" s="1"/>
  <c r="AM18" i="4"/>
  <c r="AY18" i="4"/>
  <c r="AZ18" i="4"/>
  <c r="BA18" i="4"/>
  <c r="BB18" i="4"/>
  <c r="BC18" i="4"/>
  <c r="BD18" i="4"/>
  <c r="BM18" i="4"/>
  <c r="BN18" i="4"/>
  <c r="BO18" i="4"/>
  <c r="BP18" i="4"/>
  <c r="BQ18" i="4"/>
  <c r="BR18" i="4"/>
  <c r="V36" i="4"/>
  <c r="Z36" i="4"/>
  <c r="AU36" i="4" s="1"/>
  <c r="AA36" i="4"/>
  <c r="AB36" i="4"/>
  <c r="AW36" i="4" s="1"/>
  <c r="AC36" i="4"/>
  <c r="AX36" i="4" s="1"/>
  <c r="AM36" i="4"/>
  <c r="AV36" i="4"/>
  <c r="AY36" i="4"/>
  <c r="AZ36" i="4"/>
  <c r="BA36" i="4"/>
  <c r="BB36" i="4"/>
  <c r="BC36" i="4"/>
  <c r="BD36" i="4"/>
  <c r="BM36" i="4"/>
  <c r="BN36" i="4"/>
  <c r="BO36" i="4"/>
  <c r="BP36" i="4"/>
  <c r="BQ36" i="4"/>
  <c r="BR36" i="4"/>
  <c r="V38" i="4"/>
  <c r="Z38" i="4"/>
  <c r="AA38" i="4"/>
  <c r="AB38" i="4"/>
  <c r="AW38" i="4" s="1"/>
  <c r="AC38" i="4"/>
  <c r="AX38" i="4" s="1"/>
  <c r="AM38" i="4"/>
  <c r="AV38" i="4"/>
  <c r="AY38" i="4"/>
  <c r="AZ38" i="4"/>
  <c r="BA38" i="4"/>
  <c r="BB38" i="4"/>
  <c r="BC38" i="4"/>
  <c r="BD38" i="4"/>
  <c r="BM38" i="4"/>
  <c r="BN38" i="4"/>
  <c r="BO38" i="4"/>
  <c r="BP38" i="4"/>
  <c r="BQ38" i="4"/>
  <c r="BR38" i="4"/>
  <c r="V35" i="4"/>
  <c r="Z35" i="4"/>
  <c r="AA35" i="4"/>
  <c r="AB35" i="4"/>
  <c r="AW35" i="4" s="1"/>
  <c r="AC35" i="4"/>
  <c r="AX35" i="4" s="1"/>
  <c r="AM35" i="4"/>
  <c r="AV35" i="4"/>
  <c r="AY35" i="4"/>
  <c r="AZ35" i="4"/>
  <c r="BA35" i="4"/>
  <c r="BB35" i="4"/>
  <c r="BC35" i="4"/>
  <c r="BD35" i="4"/>
  <c r="BM35" i="4"/>
  <c r="BN35" i="4"/>
  <c r="BO35" i="4"/>
  <c r="BP35" i="4"/>
  <c r="BQ35" i="4"/>
  <c r="BR35" i="4"/>
  <c r="V47" i="4"/>
  <c r="Z47" i="4"/>
  <c r="AA47" i="4"/>
  <c r="AB47" i="4"/>
  <c r="AW47" i="4" s="1"/>
  <c r="AC47" i="4"/>
  <c r="AX47" i="4" s="1"/>
  <c r="AM47" i="4"/>
  <c r="AV47" i="4"/>
  <c r="AY47" i="4"/>
  <c r="AZ47" i="4"/>
  <c r="BA47" i="4"/>
  <c r="BB47" i="4"/>
  <c r="BC47" i="4"/>
  <c r="BD47" i="4"/>
  <c r="BM47" i="4"/>
  <c r="BN47" i="4"/>
  <c r="BO47" i="4"/>
  <c r="BP47" i="4"/>
  <c r="BQ47" i="4"/>
  <c r="BR47" i="4"/>
  <c r="V51" i="4"/>
  <c r="Z51" i="4"/>
  <c r="AU51" i="4" s="1"/>
  <c r="AA51" i="4"/>
  <c r="AB51" i="4"/>
  <c r="AW51" i="4" s="1"/>
  <c r="AC51" i="4"/>
  <c r="AX51" i="4" s="1"/>
  <c r="AM51" i="4"/>
  <c r="AV51" i="4"/>
  <c r="AY51" i="4"/>
  <c r="AZ51" i="4"/>
  <c r="BA51" i="4"/>
  <c r="BB51" i="4"/>
  <c r="BC51" i="4"/>
  <c r="BD51" i="4"/>
  <c r="BM51" i="4"/>
  <c r="BN51" i="4"/>
  <c r="BO51" i="4"/>
  <c r="BP51" i="4"/>
  <c r="BQ51" i="4"/>
  <c r="BR51" i="4"/>
  <c r="V52" i="4"/>
  <c r="Z52" i="4"/>
  <c r="AA52" i="4"/>
  <c r="AB52" i="4"/>
  <c r="AW52" i="4" s="1"/>
  <c r="AC52" i="4"/>
  <c r="AX52" i="4" s="1"/>
  <c r="AM52" i="4"/>
  <c r="AV52" i="4"/>
  <c r="AY52" i="4"/>
  <c r="AZ52" i="4"/>
  <c r="BA52" i="4"/>
  <c r="BB52" i="4"/>
  <c r="BC52" i="4"/>
  <c r="BD52" i="4"/>
  <c r="BM52" i="4"/>
  <c r="BN52" i="4"/>
  <c r="BO52" i="4"/>
  <c r="BP52" i="4"/>
  <c r="BQ52" i="4"/>
  <c r="BR52" i="4"/>
  <c r="V53" i="4"/>
  <c r="Z53" i="4"/>
  <c r="AU53" i="4" s="1"/>
  <c r="AA53" i="4"/>
  <c r="AB53" i="4"/>
  <c r="AW53" i="4" s="1"/>
  <c r="AC53" i="4"/>
  <c r="AX53" i="4" s="1"/>
  <c r="AM53" i="4"/>
  <c r="AV53" i="4"/>
  <c r="AY53" i="4"/>
  <c r="AZ53" i="4"/>
  <c r="BA53" i="4"/>
  <c r="BB53" i="4"/>
  <c r="BC53" i="4"/>
  <c r="BD53" i="4"/>
  <c r="BM53" i="4"/>
  <c r="BN53" i="4"/>
  <c r="BO53" i="4"/>
  <c r="BP53" i="4"/>
  <c r="BQ53" i="4"/>
  <c r="BR53" i="4"/>
  <c r="V48" i="4"/>
  <c r="Z48" i="4"/>
  <c r="AA48" i="4"/>
  <c r="AB48" i="4"/>
  <c r="AW48" i="4" s="1"/>
  <c r="AC48" i="4"/>
  <c r="AX48" i="4" s="1"/>
  <c r="AM48" i="4"/>
  <c r="AV48" i="4"/>
  <c r="AY48" i="4"/>
  <c r="AZ48" i="4"/>
  <c r="BA48" i="4"/>
  <c r="BB48" i="4"/>
  <c r="BC48" i="4"/>
  <c r="BD48" i="4"/>
  <c r="BM48" i="4"/>
  <c r="BN48" i="4"/>
  <c r="BO48" i="4"/>
  <c r="BP48" i="4"/>
  <c r="BQ48" i="4"/>
  <c r="BR48" i="4"/>
  <c r="V42" i="4"/>
  <c r="Z42" i="4"/>
  <c r="AU42" i="4" s="1"/>
  <c r="AA42" i="4"/>
  <c r="AV42" i="4" s="1"/>
  <c r="AB42" i="4"/>
  <c r="AC42" i="4"/>
  <c r="AX42" i="4" s="1"/>
  <c r="AM42" i="4"/>
  <c r="AW42" i="4"/>
  <c r="AY42" i="4"/>
  <c r="AZ42" i="4"/>
  <c r="BA42" i="4"/>
  <c r="BB42" i="4"/>
  <c r="BC42" i="4"/>
  <c r="BD42" i="4"/>
  <c r="BM42" i="4"/>
  <c r="BN42" i="4"/>
  <c r="BO42" i="4"/>
  <c r="BP42" i="4"/>
  <c r="BQ42" i="4"/>
  <c r="BR42" i="4"/>
  <c r="V43" i="4"/>
  <c r="Z43" i="4"/>
  <c r="AA43" i="4"/>
  <c r="AB43" i="4"/>
  <c r="AW43" i="4" s="1"/>
  <c r="AC43" i="4"/>
  <c r="AX43" i="4" s="1"/>
  <c r="AM43" i="4"/>
  <c r="AV43" i="4"/>
  <c r="AY43" i="4"/>
  <c r="AZ43" i="4"/>
  <c r="BA43" i="4"/>
  <c r="BB43" i="4"/>
  <c r="BC43" i="4"/>
  <c r="BD43" i="4"/>
  <c r="BM43" i="4"/>
  <c r="BN43" i="4"/>
  <c r="BO43" i="4"/>
  <c r="BP43" i="4"/>
  <c r="BQ43" i="4"/>
  <c r="BR43" i="4"/>
  <c r="V55" i="4"/>
  <c r="Z55" i="4"/>
  <c r="AU55" i="4" s="1"/>
  <c r="AA55" i="4"/>
  <c r="AB55" i="4"/>
  <c r="AC55" i="4"/>
  <c r="AX55" i="4" s="1"/>
  <c r="AM55" i="4"/>
  <c r="AV55" i="4"/>
  <c r="AY55" i="4"/>
  <c r="AZ55" i="4"/>
  <c r="BA55" i="4"/>
  <c r="BB55" i="4"/>
  <c r="BC55" i="4"/>
  <c r="BD55" i="4"/>
  <c r="BM55" i="4"/>
  <c r="BN55" i="4"/>
  <c r="BO55" i="4"/>
  <c r="BP55" i="4"/>
  <c r="BQ55" i="4"/>
  <c r="BR55" i="4"/>
  <c r="V57" i="4"/>
  <c r="Z57" i="4"/>
  <c r="AA57" i="4"/>
  <c r="AB57" i="4"/>
  <c r="AW57" i="4" s="1"/>
  <c r="AC57" i="4"/>
  <c r="AX57" i="4" s="1"/>
  <c r="AM57" i="4"/>
  <c r="AV57" i="4"/>
  <c r="AY57" i="4"/>
  <c r="AZ57" i="4"/>
  <c r="BA57" i="4"/>
  <c r="BB57" i="4"/>
  <c r="BC57" i="4"/>
  <c r="BD57" i="4"/>
  <c r="BM57" i="4"/>
  <c r="BN57" i="4"/>
  <c r="BO57" i="4"/>
  <c r="BP57" i="4"/>
  <c r="BQ57" i="4"/>
  <c r="BR57" i="4"/>
  <c r="V44" i="4"/>
  <c r="Z44" i="4"/>
  <c r="AU44" i="4" s="1"/>
  <c r="AA44" i="4"/>
  <c r="AB44" i="4"/>
  <c r="AW44" i="4" s="1"/>
  <c r="AC44" i="4"/>
  <c r="AX44" i="4" s="1"/>
  <c r="AM44" i="4"/>
  <c r="AV44" i="4"/>
  <c r="AY44" i="4"/>
  <c r="AZ44" i="4"/>
  <c r="BA44" i="4"/>
  <c r="BB44" i="4"/>
  <c r="BC44" i="4"/>
  <c r="BD44" i="4"/>
  <c r="BM44" i="4"/>
  <c r="BN44" i="4"/>
  <c r="BO44" i="4"/>
  <c r="BP44" i="4"/>
  <c r="BQ44" i="4"/>
  <c r="BR44" i="4"/>
  <c r="V62" i="4"/>
  <c r="Z62" i="4"/>
  <c r="AA62" i="4"/>
  <c r="AB62" i="4"/>
  <c r="AW62" i="4" s="1"/>
  <c r="AC62" i="4"/>
  <c r="AX62" i="4" s="1"/>
  <c r="AM62" i="4"/>
  <c r="AV62" i="4"/>
  <c r="AY62" i="4"/>
  <c r="AZ62" i="4"/>
  <c r="BA62" i="4"/>
  <c r="BB62" i="4"/>
  <c r="BC62" i="4"/>
  <c r="BD62" i="4"/>
  <c r="BM62" i="4"/>
  <c r="BN62" i="4"/>
  <c r="BO62" i="4"/>
  <c r="BP62" i="4"/>
  <c r="BQ62" i="4"/>
  <c r="BR62" i="4"/>
  <c r="V63" i="4"/>
  <c r="Z63" i="4"/>
  <c r="AU63" i="4" s="1"/>
  <c r="AA63" i="4"/>
  <c r="AV63" i="4" s="1"/>
  <c r="AB63" i="4"/>
  <c r="AC63" i="4"/>
  <c r="AM63" i="4"/>
  <c r="AX63" i="4"/>
  <c r="AY63" i="4"/>
  <c r="AZ63" i="4"/>
  <c r="BA63" i="4"/>
  <c r="BB63" i="4"/>
  <c r="BC63" i="4"/>
  <c r="BD63" i="4"/>
  <c r="BM63" i="4"/>
  <c r="BN63" i="4"/>
  <c r="BO63" i="4"/>
  <c r="BP63" i="4"/>
  <c r="BQ63" i="4"/>
  <c r="BR63" i="4"/>
  <c r="V64" i="4"/>
  <c r="Z64" i="4"/>
  <c r="AA64" i="4"/>
  <c r="AB64" i="4"/>
  <c r="AW64" i="4" s="1"/>
  <c r="AC64" i="4"/>
  <c r="AX64" i="4" s="1"/>
  <c r="AM64" i="4"/>
  <c r="AV64" i="4"/>
  <c r="AY64" i="4"/>
  <c r="AZ64" i="4"/>
  <c r="BA64" i="4"/>
  <c r="BB64" i="4"/>
  <c r="BC64" i="4"/>
  <c r="BD64" i="4"/>
  <c r="BM64" i="4"/>
  <c r="BN64" i="4"/>
  <c r="BO64" i="4"/>
  <c r="BP64" i="4"/>
  <c r="BQ64" i="4"/>
  <c r="BR64" i="4"/>
  <c r="V65" i="4"/>
  <c r="Z65" i="4"/>
  <c r="AU65" i="4" s="1"/>
  <c r="AA65" i="4"/>
  <c r="AB65" i="4"/>
  <c r="AW65" i="4" s="1"/>
  <c r="AC65" i="4"/>
  <c r="AX65" i="4" s="1"/>
  <c r="AM65" i="4"/>
  <c r="AV65" i="4"/>
  <c r="AY65" i="4"/>
  <c r="AZ65" i="4"/>
  <c r="BA65" i="4"/>
  <c r="BB65" i="4"/>
  <c r="BC65" i="4"/>
  <c r="BD65" i="4"/>
  <c r="BM65" i="4"/>
  <c r="BN65" i="4"/>
  <c r="BO65" i="4"/>
  <c r="BP65" i="4"/>
  <c r="BQ65" i="4"/>
  <c r="BR65" i="4"/>
  <c r="V66" i="4"/>
  <c r="Z66" i="4"/>
  <c r="AA66" i="4"/>
  <c r="AB66" i="4"/>
  <c r="AW66" i="4" s="1"/>
  <c r="AC66" i="4"/>
  <c r="AX66" i="4" s="1"/>
  <c r="AM66" i="4"/>
  <c r="AV66" i="4"/>
  <c r="AY66" i="4"/>
  <c r="AZ66" i="4"/>
  <c r="BA66" i="4"/>
  <c r="BB66" i="4"/>
  <c r="BC66" i="4"/>
  <c r="BD66" i="4"/>
  <c r="BM66" i="4"/>
  <c r="BN66" i="4"/>
  <c r="BO66" i="4"/>
  <c r="BP66" i="4"/>
  <c r="BQ66" i="4"/>
  <c r="BR66" i="4"/>
  <c r="V67" i="4"/>
  <c r="Z67" i="4"/>
  <c r="AU67" i="4" s="1"/>
  <c r="AA67" i="4"/>
  <c r="AB67" i="4"/>
  <c r="AC67" i="4"/>
  <c r="AX67" i="4" s="1"/>
  <c r="AM67" i="4"/>
  <c r="AV67" i="4"/>
  <c r="AY67" i="4"/>
  <c r="AZ67" i="4"/>
  <c r="BA67" i="4"/>
  <c r="BB67" i="4"/>
  <c r="BC67" i="4"/>
  <c r="BD67" i="4"/>
  <c r="BM67" i="4"/>
  <c r="BN67" i="4"/>
  <c r="BO67" i="4"/>
  <c r="BP67" i="4"/>
  <c r="BQ67" i="4"/>
  <c r="BR67" i="4"/>
  <c r="V68" i="4"/>
  <c r="Z68" i="4"/>
  <c r="AA68" i="4"/>
  <c r="AB68" i="4"/>
  <c r="AW68" i="4" s="1"/>
  <c r="AC68" i="4"/>
  <c r="AX68" i="4" s="1"/>
  <c r="AM68" i="4"/>
  <c r="AV68" i="4"/>
  <c r="AY68" i="4"/>
  <c r="AZ68" i="4"/>
  <c r="BA68" i="4"/>
  <c r="BB68" i="4"/>
  <c r="BC68" i="4"/>
  <c r="BD68" i="4"/>
  <c r="BM68" i="4"/>
  <c r="BN68" i="4"/>
  <c r="BO68" i="4"/>
  <c r="BP68" i="4"/>
  <c r="BQ68" i="4"/>
  <c r="BR68" i="4"/>
  <c r="V69" i="4"/>
  <c r="Z69" i="4"/>
  <c r="AU69" i="4" s="1"/>
  <c r="AA69" i="4"/>
  <c r="AV69" i="4" s="1"/>
  <c r="AB69" i="4"/>
  <c r="AW69" i="4" s="1"/>
  <c r="AC69" i="4"/>
  <c r="AX69" i="4" s="1"/>
  <c r="AM69" i="4"/>
  <c r="AY69" i="4"/>
  <c r="AZ69" i="4"/>
  <c r="BA69" i="4"/>
  <c r="BB69" i="4"/>
  <c r="BC69" i="4"/>
  <c r="BD69" i="4"/>
  <c r="BM69" i="4"/>
  <c r="BN69" i="4"/>
  <c r="BO69" i="4"/>
  <c r="BP69" i="4"/>
  <c r="BQ69" i="4"/>
  <c r="BR69" i="4"/>
  <c r="V70" i="4"/>
  <c r="Z70" i="4"/>
  <c r="AA70" i="4"/>
  <c r="AB70" i="4"/>
  <c r="AW70" i="4" s="1"/>
  <c r="AC70" i="4"/>
  <c r="AX70" i="4" s="1"/>
  <c r="AM70" i="4"/>
  <c r="AV70" i="4"/>
  <c r="AY70" i="4"/>
  <c r="AZ70" i="4"/>
  <c r="BA70" i="4"/>
  <c r="BB70" i="4"/>
  <c r="BC70" i="4"/>
  <c r="BD70" i="4"/>
  <c r="BM70" i="4"/>
  <c r="BN70" i="4"/>
  <c r="BO70" i="4"/>
  <c r="BP70" i="4"/>
  <c r="BQ70" i="4"/>
  <c r="BR70" i="4"/>
  <c r="V71" i="4"/>
  <c r="Z71" i="4"/>
  <c r="AU71" i="4" s="1"/>
  <c r="AA71" i="4"/>
  <c r="AB71" i="4"/>
  <c r="AC71" i="4"/>
  <c r="AX71" i="4" s="1"/>
  <c r="AM71" i="4"/>
  <c r="AV71" i="4"/>
  <c r="AY71" i="4"/>
  <c r="AZ71" i="4"/>
  <c r="BA71" i="4"/>
  <c r="BB71" i="4"/>
  <c r="BC71" i="4"/>
  <c r="BD71" i="4"/>
  <c r="BM71" i="4"/>
  <c r="BN71" i="4"/>
  <c r="BO71" i="4"/>
  <c r="BP71" i="4"/>
  <c r="BQ71" i="4"/>
  <c r="BR71" i="4"/>
  <c r="V72" i="4"/>
  <c r="Z72" i="4"/>
  <c r="AA72" i="4"/>
  <c r="AB72" i="4"/>
  <c r="AW72" i="4" s="1"/>
  <c r="AC72" i="4"/>
  <c r="AX72" i="4" s="1"/>
  <c r="AM72" i="4"/>
  <c r="AV72" i="4"/>
  <c r="AY72" i="4"/>
  <c r="AZ72" i="4"/>
  <c r="BA72" i="4"/>
  <c r="BB72" i="4"/>
  <c r="BC72" i="4"/>
  <c r="BD72" i="4"/>
  <c r="BM72" i="4"/>
  <c r="BN72" i="4"/>
  <c r="BO72" i="4"/>
  <c r="BP72" i="4"/>
  <c r="BQ72" i="4"/>
  <c r="BR72" i="4"/>
  <c r="V73" i="4"/>
  <c r="Z73" i="4"/>
  <c r="AA73" i="4"/>
  <c r="AB73" i="4"/>
  <c r="AW73" i="4" s="1"/>
  <c r="AC73" i="4"/>
  <c r="AX73" i="4" s="1"/>
  <c r="AM73" i="4"/>
  <c r="AV73" i="4"/>
  <c r="AY73" i="4"/>
  <c r="AZ73" i="4"/>
  <c r="BA73" i="4"/>
  <c r="BB73" i="4"/>
  <c r="BC73" i="4"/>
  <c r="BD73" i="4"/>
  <c r="BM73" i="4"/>
  <c r="BN73" i="4"/>
  <c r="BO73" i="4"/>
  <c r="BP73" i="4"/>
  <c r="BQ73" i="4"/>
  <c r="BR73" i="4"/>
  <c r="V74" i="4"/>
  <c r="Z74" i="4"/>
  <c r="AA74" i="4"/>
  <c r="AB74" i="4"/>
  <c r="AW74" i="4" s="1"/>
  <c r="AC74" i="4"/>
  <c r="AX74" i="4" s="1"/>
  <c r="AM74" i="4"/>
  <c r="AV74" i="4"/>
  <c r="AY74" i="4"/>
  <c r="AZ74" i="4"/>
  <c r="BA74" i="4"/>
  <c r="BB74" i="4"/>
  <c r="BC74" i="4"/>
  <c r="BD74" i="4"/>
  <c r="BM74" i="4"/>
  <c r="BN74" i="4"/>
  <c r="BO74" i="4"/>
  <c r="BP74" i="4"/>
  <c r="BQ74" i="4"/>
  <c r="BR74" i="4"/>
  <c r="V75" i="4"/>
  <c r="Z75" i="4"/>
  <c r="AU75" i="4" s="1"/>
  <c r="AA75" i="4"/>
  <c r="AB75" i="4"/>
  <c r="AC75" i="4"/>
  <c r="AX75" i="4" s="1"/>
  <c r="AM75" i="4"/>
  <c r="AV75" i="4"/>
  <c r="AY75" i="4"/>
  <c r="AZ75" i="4"/>
  <c r="BA75" i="4"/>
  <c r="BB75" i="4"/>
  <c r="BC75" i="4"/>
  <c r="BD75" i="4"/>
  <c r="BM75" i="4"/>
  <c r="BN75" i="4"/>
  <c r="BO75" i="4"/>
  <c r="BP75" i="4"/>
  <c r="BQ75" i="4"/>
  <c r="BR75" i="4"/>
  <c r="V50" i="4"/>
  <c r="Z50" i="4"/>
  <c r="AA50" i="4"/>
  <c r="AB50" i="4"/>
  <c r="AW50" i="4" s="1"/>
  <c r="AC50" i="4"/>
  <c r="AX50" i="4" s="1"/>
  <c r="AM50" i="4"/>
  <c r="AV50" i="4"/>
  <c r="AY50" i="4"/>
  <c r="AZ50" i="4"/>
  <c r="BA50" i="4"/>
  <c r="BB50" i="4"/>
  <c r="BC50" i="4"/>
  <c r="BD50" i="4"/>
  <c r="BM50" i="4"/>
  <c r="BN50" i="4"/>
  <c r="BO50" i="4"/>
  <c r="BP50" i="4"/>
  <c r="BQ50" i="4"/>
  <c r="BR50" i="4"/>
  <c r="V76" i="4"/>
  <c r="Z76" i="4"/>
  <c r="AU76" i="4" s="1"/>
  <c r="AA76" i="4"/>
  <c r="AV76" i="4" s="1"/>
  <c r="AB76" i="4"/>
  <c r="AW76" i="4" s="1"/>
  <c r="AC76" i="4"/>
  <c r="AX76" i="4" s="1"/>
  <c r="AM76" i="4"/>
  <c r="AY76" i="4"/>
  <c r="AZ76" i="4"/>
  <c r="BA76" i="4"/>
  <c r="BB76" i="4"/>
  <c r="BC76" i="4"/>
  <c r="BD76" i="4"/>
  <c r="BM76" i="4"/>
  <c r="BN76" i="4"/>
  <c r="BO76" i="4"/>
  <c r="BP76" i="4"/>
  <c r="BQ76" i="4"/>
  <c r="BR76" i="4"/>
  <c r="V77" i="4"/>
  <c r="Z77" i="4"/>
  <c r="AA77" i="4"/>
  <c r="AB77" i="4"/>
  <c r="AW77" i="4" s="1"/>
  <c r="AC77" i="4"/>
  <c r="AX77" i="4" s="1"/>
  <c r="AM77" i="4"/>
  <c r="AV77" i="4"/>
  <c r="AY77" i="4"/>
  <c r="AZ77" i="4"/>
  <c r="BA77" i="4"/>
  <c r="BB77" i="4"/>
  <c r="BC77" i="4"/>
  <c r="BD77" i="4"/>
  <c r="BM77" i="4"/>
  <c r="BN77" i="4"/>
  <c r="BO77" i="4"/>
  <c r="BP77" i="4"/>
  <c r="BQ77" i="4"/>
  <c r="BR77" i="4"/>
  <c r="V46" i="4"/>
  <c r="Z46" i="4"/>
  <c r="AU46" i="4" s="1"/>
  <c r="AA46" i="4"/>
  <c r="AV46" i="4" s="1"/>
  <c r="AB46" i="4"/>
  <c r="AW46" i="4" s="1"/>
  <c r="AC46" i="4"/>
  <c r="AX46" i="4" s="1"/>
  <c r="AM46" i="4"/>
  <c r="AY46" i="4"/>
  <c r="AZ46" i="4"/>
  <c r="BA46" i="4"/>
  <c r="BB46" i="4"/>
  <c r="BC46" i="4"/>
  <c r="BD46" i="4"/>
  <c r="BM46" i="4"/>
  <c r="BN46" i="4"/>
  <c r="BO46" i="4"/>
  <c r="BP46" i="4"/>
  <c r="BQ46" i="4"/>
  <c r="BR46" i="4"/>
  <c r="V78" i="4"/>
  <c r="Z78" i="4"/>
  <c r="AA78" i="4"/>
  <c r="AB78" i="4"/>
  <c r="AW78" i="4" s="1"/>
  <c r="AC78" i="4"/>
  <c r="AX78" i="4" s="1"/>
  <c r="AM78" i="4"/>
  <c r="AV78" i="4"/>
  <c r="AY78" i="4"/>
  <c r="AZ78" i="4"/>
  <c r="BA78" i="4"/>
  <c r="BB78" i="4"/>
  <c r="BC78" i="4"/>
  <c r="BD78" i="4"/>
  <c r="BM78" i="4"/>
  <c r="BN78" i="4"/>
  <c r="BO78" i="4"/>
  <c r="BP78" i="4"/>
  <c r="BQ78" i="4"/>
  <c r="BR78" i="4"/>
  <c r="V79" i="4"/>
  <c r="Z79" i="4"/>
  <c r="AU79" i="4" s="1"/>
  <c r="AA79" i="4"/>
  <c r="AB79" i="4"/>
  <c r="AC79" i="4"/>
  <c r="AX79" i="4" s="1"/>
  <c r="AM79" i="4"/>
  <c r="AV79" i="4"/>
  <c r="AY79" i="4"/>
  <c r="AZ79" i="4"/>
  <c r="BA79" i="4"/>
  <c r="BB79" i="4"/>
  <c r="BC79" i="4"/>
  <c r="BD79" i="4"/>
  <c r="BM79" i="4"/>
  <c r="BN79" i="4"/>
  <c r="BO79" i="4"/>
  <c r="BP79" i="4"/>
  <c r="BQ79" i="4"/>
  <c r="BR79" i="4"/>
  <c r="V58" i="4"/>
  <c r="Z58" i="4"/>
  <c r="AA58" i="4"/>
  <c r="AB58" i="4"/>
  <c r="AW58" i="4" s="1"/>
  <c r="AC58" i="4"/>
  <c r="AX58" i="4" s="1"/>
  <c r="AM58" i="4"/>
  <c r="AV58" i="4"/>
  <c r="AY58" i="4"/>
  <c r="AZ58" i="4"/>
  <c r="BA58" i="4"/>
  <c r="BB58" i="4"/>
  <c r="BC58" i="4"/>
  <c r="BD58" i="4"/>
  <c r="BM58" i="4"/>
  <c r="BN58" i="4"/>
  <c r="BO58" i="4"/>
  <c r="BP58" i="4"/>
  <c r="BQ58" i="4"/>
  <c r="BR58" i="4"/>
  <c r="V80" i="4"/>
  <c r="Z80" i="4"/>
  <c r="AU80" i="4" s="1"/>
  <c r="AA80" i="4"/>
  <c r="AV80" i="4" s="1"/>
  <c r="AB80" i="4"/>
  <c r="AC80" i="4"/>
  <c r="AM80" i="4"/>
  <c r="AX80" i="4"/>
  <c r="AY80" i="4"/>
  <c r="AZ80" i="4"/>
  <c r="BA80" i="4"/>
  <c r="BB80" i="4"/>
  <c r="BC80" i="4"/>
  <c r="BD80" i="4"/>
  <c r="BM80" i="4"/>
  <c r="BN80" i="4"/>
  <c r="BO80" i="4"/>
  <c r="BP80" i="4"/>
  <c r="BQ80" i="4"/>
  <c r="BR80" i="4"/>
  <c r="V56" i="4"/>
  <c r="Z56" i="4"/>
  <c r="AA56" i="4"/>
  <c r="AB56" i="4"/>
  <c r="AW56" i="4" s="1"/>
  <c r="AC56" i="4"/>
  <c r="AX56" i="4" s="1"/>
  <c r="AM56" i="4"/>
  <c r="AV56" i="4"/>
  <c r="AY56" i="4"/>
  <c r="AZ56" i="4"/>
  <c r="BA56" i="4"/>
  <c r="BB56" i="4"/>
  <c r="BC56" i="4"/>
  <c r="BD56" i="4"/>
  <c r="BM56" i="4"/>
  <c r="BN56" i="4"/>
  <c r="BO56" i="4"/>
  <c r="BP56" i="4"/>
  <c r="BQ56" i="4"/>
  <c r="BR56" i="4"/>
  <c r="V81" i="4"/>
  <c r="Z81" i="4"/>
  <c r="AA81" i="4"/>
  <c r="AB81" i="4"/>
  <c r="AW81" i="4" s="1"/>
  <c r="AC81" i="4"/>
  <c r="AX81" i="4" s="1"/>
  <c r="AM81" i="4"/>
  <c r="AV81" i="4"/>
  <c r="AY81" i="4"/>
  <c r="AZ81" i="4"/>
  <c r="BA81" i="4"/>
  <c r="BB81" i="4"/>
  <c r="BC81" i="4"/>
  <c r="BD81" i="4"/>
  <c r="BM81" i="4"/>
  <c r="BN81" i="4"/>
  <c r="BO81" i="4"/>
  <c r="BP81" i="4"/>
  <c r="BQ81" i="4"/>
  <c r="BR81" i="4"/>
  <c r="V82" i="4"/>
  <c r="Z82" i="4"/>
  <c r="AA82" i="4"/>
  <c r="AB82" i="4"/>
  <c r="AW82" i="4" s="1"/>
  <c r="AC82" i="4"/>
  <c r="AX82" i="4" s="1"/>
  <c r="AM82" i="4"/>
  <c r="AV82" i="4"/>
  <c r="AY82" i="4"/>
  <c r="AZ82" i="4"/>
  <c r="BA82" i="4"/>
  <c r="BB82" i="4"/>
  <c r="BC82" i="4"/>
  <c r="BD82" i="4"/>
  <c r="BM82" i="4"/>
  <c r="BN82" i="4"/>
  <c r="BO82" i="4"/>
  <c r="BP82" i="4"/>
  <c r="BQ82" i="4"/>
  <c r="BR82" i="4"/>
  <c r="V41" i="4"/>
  <c r="Z41" i="4"/>
  <c r="AA41" i="4"/>
  <c r="AB41" i="4"/>
  <c r="AW41" i="4" s="1"/>
  <c r="AC41" i="4"/>
  <c r="AX41" i="4" s="1"/>
  <c r="AM41" i="4"/>
  <c r="AV41" i="4"/>
  <c r="AY41" i="4"/>
  <c r="AZ41" i="4"/>
  <c r="BA41" i="4"/>
  <c r="BB41" i="4"/>
  <c r="BC41" i="4"/>
  <c r="BD41" i="4"/>
  <c r="BM41" i="4"/>
  <c r="BN41" i="4"/>
  <c r="BO41" i="4"/>
  <c r="BP41" i="4"/>
  <c r="BQ41" i="4"/>
  <c r="BR41" i="4"/>
  <c r="V83" i="4"/>
  <c r="Z83" i="4"/>
  <c r="AA83" i="4"/>
  <c r="AB83" i="4"/>
  <c r="AW83" i="4" s="1"/>
  <c r="AC83" i="4"/>
  <c r="AX83" i="4" s="1"/>
  <c r="AM83" i="4"/>
  <c r="AV83" i="4"/>
  <c r="AY83" i="4"/>
  <c r="AZ83" i="4"/>
  <c r="BA83" i="4"/>
  <c r="BB83" i="4"/>
  <c r="BC83" i="4"/>
  <c r="BD83" i="4"/>
  <c r="BM83" i="4"/>
  <c r="BN83" i="4"/>
  <c r="BO83" i="4"/>
  <c r="BP83" i="4"/>
  <c r="BQ83" i="4"/>
  <c r="BR83" i="4"/>
  <c r="V84" i="4"/>
  <c r="Z84" i="4"/>
  <c r="AU84" i="4" s="1"/>
  <c r="AA84" i="4"/>
  <c r="AV84" i="4" s="1"/>
  <c r="AB84" i="4"/>
  <c r="AW84" i="4" s="1"/>
  <c r="AC84" i="4"/>
  <c r="AX84" i="4" s="1"/>
  <c r="AM84" i="4"/>
  <c r="AY84" i="4"/>
  <c r="AZ84" i="4"/>
  <c r="BA84" i="4"/>
  <c r="BB84" i="4"/>
  <c r="BC84" i="4"/>
  <c r="BD84" i="4"/>
  <c r="BM84" i="4"/>
  <c r="BN84" i="4"/>
  <c r="BO84" i="4"/>
  <c r="BP84" i="4"/>
  <c r="BQ84" i="4"/>
  <c r="BR84" i="4"/>
  <c r="V54" i="4"/>
  <c r="Z54" i="4"/>
  <c r="AA54" i="4"/>
  <c r="AB54" i="4"/>
  <c r="AW54" i="4" s="1"/>
  <c r="AC54" i="4"/>
  <c r="AX54" i="4" s="1"/>
  <c r="AM54" i="4"/>
  <c r="AV54" i="4"/>
  <c r="AY54" i="4"/>
  <c r="AZ54" i="4"/>
  <c r="BA54" i="4"/>
  <c r="BB54" i="4"/>
  <c r="BC54" i="4"/>
  <c r="BD54" i="4"/>
  <c r="BM54" i="4"/>
  <c r="BN54" i="4"/>
  <c r="BO54" i="4"/>
  <c r="BP54" i="4"/>
  <c r="BQ54" i="4"/>
  <c r="BR54" i="4"/>
  <c r="V45" i="4"/>
  <c r="Z45" i="4"/>
  <c r="AU45" i="4" s="1"/>
  <c r="AA45" i="4"/>
  <c r="AV45" i="4" s="1"/>
  <c r="AB45" i="4"/>
  <c r="AW45" i="4" s="1"/>
  <c r="AC45" i="4"/>
  <c r="AX45" i="4" s="1"/>
  <c r="AM45" i="4"/>
  <c r="AY45" i="4"/>
  <c r="AZ45" i="4"/>
  <c r="BA45" i="4"/>
  <c r="BB45" i="4"/>
  <c r="BC45" i="4"/>
  <c r="BD45" i="4"/>
  <c r="BM45" i="4"/>
  <c r="BN45" i="4"/>
  <c r="BO45" i="4"/>
  <c r="BP45" i="4"/>
  <c r="BQ45" i="4"/>
  <c r="BR45" i="4"/>
  <c r="V85" i="4"/>
  <c r="Z85" i="4"/>
  <c r="AA85" i="4"/>
  <c r="AB85" i="4"/>
  <c r="AW85" i="4" s="1"/>
  <c r="AC85" i="4"/>
  <c r="AX85" i="4" s="1"/>
  <c r="AM85" i="4"/>
  <c r="AV85" i="4"/>
  <c r="AY85" i="4"/>
  <c r="AZ85" i="4"/>
  <c r="BA85" i="4"/>
  <c r="BB85" i="4"/>
  <c r="BC85" i="4"/>
  <c r="BD85" i="4"/>
  <c r="BM85" i="4"/>
  <c r="BN85" i="4"/>
  <c r="BO85" i="4"/>
  <c r="BP85" i="4"/>
  <c r="BQ85" i="4"/>
  <c r="BR85" i="4"/>
  <c r="V86" i="4"/>
  <c r="Z86" i="4"/>
  <c r="AA86" i="4"/>
  <c r="AB86" i="4"/>
  <c r="AW86" i="4" s="1"/>
  <c r="AC86" i="4"/>
  <c r="AX86" i="4" s="1"/>
  <c r="AM86" i="4"/>
  <c r="AV86" i="4"/>
  <c r="AY86" i="4"/>
  <c r="AZ86" i="4"/>
  <c r="BA86" i="4"/>
  <c r="BB86" i="4"/>
  <c r="BC86" i="4"/>
  <c r="BD86" i="4"/>
  <c r="BM86" i="4"/>
  <c r="BN86" i="4"/>
  <c r="BO86" i="4"/>
  <c r="BP86" i="4"/>
  <c r="BQ86" i="4"/>
  <c r="BR86" i="4"/>
  <c r="V87" i="4"/>
  <c r="Z87" i="4"/>
  <c r="AA87" i="4"/>
  <c r="AB87" i="4"/>
  <c r="AW87" i="4" s="1"/>
  <c r="AC87" i="4"/>
  <c r="AX87" i="4" s="1"/>
  <c r="AM87" i="4"/>
  <c r="AV87" i="4"/>
  <c r="AY87" i="4"/>
  <c r="AZ87" i="4"/>
  <c r="BA87" i="4"/>
  <c r="BB87" i="4"/>
  <c r="BC87" i="4"/>
  <c r="BD87" i="4"/>
  <c r="BM87" i="4"/>
  <c r="BN87" i="4"/>
  <c r="BO87" i="4"/>
  <c r="BP87" i="4"/>
  <c r="BQ87" i="4"/>
  <c r="BR87" i="4"/>
  <c r="V88" i="4"/>
  <c r="Z88" i="4"/>
  <c r="AU88" i="4" s="1"/>
  <c r="AA88" i="4"/>
  <c r="AB88" i="4"/>
  <c r="AW88" i="4" s="1"/>
  <c r="AC88" i="4"/>
  <c r="AX88" i="4" s="1"/>
  <c r="AM88" i="4"/>
  <c r="AV88" i="4"/>
  <c r="AY88" i="4"/>
  <c r="AZ88" i="4"/>
  <c r="BA88" i="4"/>
  <c r="BB88" i="4"/>
  <c r="BC88" i="4"/>
  <c r="BD88" i="4"/>
  <c r="BM88" i="4"/>
  <c r="BN88" i="4"/>
  <c r="BO88" i="4"/>
  <c r="BP88" i="4"/>
  <c r="BQ88" i="4"/>
  <c r="BR88" i="4"/>
  <c r="V89" i="4"/>
  <c r="Z89" i="4"/>
  <c r="AA89" i="4"/>
  <c r="AB89" i="4"/>
  <c r="AW89" i="4" s="1"/>
  <c r="AC89" i="4"/>
  <c r="AX89" i="4" s="1"/>
  <c r="AM89" i="4"/>
  <c r="AV89" i="4"/>
  <c r="AY89" i="4"/>
  <c r="AZ89" i="4"/>
  <c r="BA89" i="4"/>
  <c r="BB89" i="4"/>
  <c r="BC89" i="4"/>
  <c r="BD89" i="4"/>
  <c r="BM89" i="4"/>
  <c r="BN89" i="4"/>
  <c r="BO89" i="4"/>
  <c r="BP89" i="4"/>
  <c r="BQ89" i="4"/>
  <c r="BR89" i="4"/>
  <c r="V90" i="4"/>
  <c r="Z90" i="4"/>
  <c r="AU90" i="4" s="1"/>
  <c r="AA90" i="4"/>
  <c r="AB90" i="4"/>
  <c r="AC90" i="4"/>
  <c r="AX90" i="4" s="1"/>
  <c r="AM90" i="4"/>
  <c r="AV90" i="4"/>
  <c r="AY90" i="4"/>
  <c r="AZ90" i="4"/>
  <c r="BA90" i="4"/>
  <c r="BB90" i="4"/>
  <c r="BC90" i="4"/>
  <c r="BD90" i="4"/>
  <c r="BM90" i="4"/>
  <c r="BN90" i="4"/>
  <c r="BO90" i="4"/>
  <c r="BP90" i="4"/>
  <c r="BQ90" i="4"/>
  <c r="BR90" i="4"/>
  <c r="V91" i="4"/>
  <c r="Z91" i="4"/>
  <c r="AA91" i="4"/>
  <c r="AB91" i="4"/>
  <c r="AW91" i="4" s="1"/>
  <c r="AC91" i="4"/>
  <c r="AX91" i="4" s="1"/>
  <c r="AM91" i="4"/>
  <c r="AV91" i="4"/>
  <c r="AY91" i="4"/>
  <c r="AZ91" i="4"/>
  <c r="BA91" i="4"/>
  <c r="BB91" i="4"/>
  <c r="BC91" i="4"/>
  <c r="BD91" i="4"/>
  <c r="BM91" i="4"/>
  <c r="BN91" i="4"/>
  <c r="BO91" i="4"/>
  <c r="BP91" i="4"/>
  <c r="BQ91" i="4"/>
  <c r="BR91" i="4"/>
  <c r="V92" i="4"/>
  <c r="Z92" i="4"/>
  <c r="AU92" i="4" s="1"/>
  <c r="AA92" i="4"/>
  <c r="AV92" i="4" s="1"/>
  <c r="AB92" i="4"/>
  <c r="AW92" i="4" s="1"/>
  <c r="AC92" i="4"/>
  <c r="AX92" i="4" s="1"/>
  <c r="AM92" i="4"/>
  <c r="AY92" i="4"/>
  <c r="AZ92" i="4"/>
  <c r="BA92" i="4"/>
  <c r="BB92" i="4"/>
  <c r="BC92" i="4"/>
  <c r="BD92" i="4"/>
  <c r="BM92" i="4"/>
  <c r="BN92" i="4"/>
  <c r="BO92" i="4"/>
  <c r="BP92" i="4"/>
  <c r="BQ92" i="4"/>
  <c r="BR92" i="4"/>
  <c r="V93" i="4"/>
  <c r="Z93" i="4"/>
  <c r="AA93" i="4"/>
  <c r="AB93" i="4"/>
  <c r="AW93" i="4" s="1"/>
  <c r="AC93" i="4"/>
  <c r="AX93" i="4" s="1"/>
  <c r="AM93" i="4"/>
  <c r="AV93" i="4"/>
  <c r="AY93" i="4"/>
  <c r="AZ93" i="4"/>
  <c r="BA93" i="4"/>
  <c r="BB93" i="4"/>
  <c r="BC93" i="4"/>
  <c r="BD93" i="4"/>
  <c r="BM93" i="4"/>
  <c r="BN93" i="4"/>
  <c r="BO93" i="4"/>
  <c r="BP93" i="4"/>
  <c r="BQ93" i="4"/>
  <c r="BR93" i="4"/>
  <c r="V94" i="4"/>
  <c r="Z94" i="4"/>
  <c r="AA94" i="4"/>
  <c r="AB94" i="4"/>
  <c r="AW94" i="4" s="1"/>
  <c r="AC94" i="4"/>
  <c r="AX94" i="4" s="1"/>
  <c r="AM94" i="4"/>
  <c r="AV94" i="4"/>
  <c r="AY94" i="4"/>
  <c r="AZ94" i="4"/>
  <c r="BA94" i="4"/>
  <c r="BB94" i="4"/>
  <c r="BC94" i="4"/>
  <c r="BD94" i="4"/>
  <c r="BM94" i="4"/>
  <c r="BN94" i="4"/>
  <c r="BO94" i="4"/>
  <c r="BP94" i="4"/>
  <c r="BQ94" i="4"/>
  <c r="BR94" i="4"/>
  <c r="V95" i="4"/>
  <c r="Z95" i="4"/>
  <c r="AA95" i="4"/>
  <c r="AB95" i="4"/>
  <c r="AW95" i="4" s="1"/>
  <c r="AC95" i="4"/>
  <c r="AX95" i="4" s="1"/>
  <c r="AM95" i="4"/>
  <c r="AV95" i="4"/>
  <c r="AY95" i="4"/>
  <c r="AZ95" i="4"/>
  <c r="BA95" i="4"/>
  <c r="BB95" i="4"/>
  <c r="BC95" i="4"/>
  <c r="BD95" i="4"/>
  <c r="BM95" i="4"/>
  <c r="BN95" i="4"/>
  <c r="BO95" i="4"/>
  <c r="BP95" i="4"/>
  <c r="BQ95" i="4"/>
  <c r="BR95" i="4"/>
  <c r="V96" i="4"/>
  <c r="Z96" i="4"/>
  <c r="AU96" i="4" s="1"/>
  <c r="AA96" i="4"/>
  <c r="AV96" i="4" s="1"/>
  <c r="AB96" i="4"/>
  <c r="AW96" i="4" s="1"/>
  <c r="AC96" i="4"/>
  <c r="AX96" i="4" s="1"/>
  <c r="AM96" i="4"/>
  <c r="AY96" i="4"/>
  <c r="AZ96" i="4"/>
  <c r="BA96" i="4"/>
  <c r="BB96" i="4"/>
  <c r="BC96" i="4"/>
  <c r="BD96" i="4"/>
  <c r="BM96" i="4"/>
  <c r="BN96" i="4"/>
  <c r="BO96" i="4"/>
  <c r="BP96" i="4"/>
  <c r="BQ96" i="4"/>
  <c r="BR96" i="4"/>
  <c r="V32" i="4"/>
  <c r="Z32" i="4"/>
  <c r="AA32" i="4"/>
  <c r="AB32" i="4"/>
  <c r="AW32" i="4" s="1"/>
  <c r="AC32" i="4"/>
  <c r="AX32" i="4" s="1"/>
  <c r="AM32" i="4"/>
  <c r="AV32" i="4"/>
  <c r="AY32" i="4"/>
  <c r="AZ32" i="4"/>
  <c r="BA32" i="4"/>
  <c r="BB32" i="4"/>
  <c r="BC32" i="4"/>
  <c r="BD32" i="4"/>
  <c r="BM32" i="4"/>
  <c r="BN32" i="4"/>
  <c r="BO32" i="4"/>
  <c r="BP32" i="4"/>
  <c r="BQ32" i="4"/>
  <c r="BR32" i="4"/>
  <c r="V97" i="4"/>
  <c r="Z97" i="4"/>
  <c r="AA97" i="4"/>
  <c r="AB97" i="4"/>
  <c r="AW97" i="4" s="1"/>
  <c r="AC97" i="4"/>
  <c r="AX97" i="4" s="1"/>
  <c r="AM97" i="4"/>
  <c r="AV97" i="4"/>
  <c r="AY97" i="4"/>
  <c r="AZ97" i="4"/>
  <c r="BA97" i="4"/>
  <c r="BB97" i="4"/>
  <c r="BC97" i="4"/>
  <c r="BD97" i="4"/>
  <c r="BM97" i="4"/>
  <c r="BN97" i="4"/>
  <c r="BO97" i="4"/>
  <c r="BP97" i="4"/>
  <c r="BQ97" i="4"/>
  <c r="BR97" i="4"/>
  <c r="V98" i="4"/>
  <c r="Z98" i="4"/>
  <c r="AA98" i="4"/>
  <c r="AB98" i="4"/>
  <c r="AW98" i="4" s="1"/>
  <c r="AC98" i="4"/>
  <c r="AX98" i="4" s="1"/>
  <c r="AM98" i="4"/>
  <c r="AV98" i="4"/>
  <c r="AY98" i="4"/>
  <c r="AZ98" i="4"/>
  <c r="BA98" i="4"/>
  <c r="BB98" i="4"/>
  <c r="BC98" i="4"/>
  <c r="BD98" i="4"/>
  <c r="BM98" i="4"/>
  <c r="BN98" i="4"/>
  <c r="BO98" i="4"/>
  <c r="BP98" i="4"/>
  <c r="BQ98" i="4"/>
  <c r="BR98" i="4"/>
  <c r="V99" i="4"/>
  <c r="Z99" i="4"/>
  <c r="AU99" i="4" s="1"/>
  <c r="AA99" i="4"/>
  <c r="AV99" i="4" s="1"/>
  <c r="AB99" i="4"/>
  <c r="AW99" i="4" s="1"/>
  <c r="AC99" i="4"/>
  <c r="AX99" i="4" s="1"/>
  <c r="AM99" i="4"/>
  <c r="AY99" i="4"/>
  <c r="AZ99" i="4"/>
  <c r="BA99" i="4"/>
  <c r="BB99" i="4"/>
  <c r="BC99" i="4"/>
  <c r="BD99" i="4"/>
  <c r="BM99" i="4"/>
  <c r="BN99" i="4"/>
  <c r="BO99" i="4"/>
  <c r="BP99" i="4"/>
  <c r="BQ99" i="4"/>
  <c r="BR99" i="4"/>
  <c r="V33" i="4"/>
  <c r="Z33" i="4"/>
  <c r="AA33" i="4"/>
  <c r="AB33" i="4"/>
  <c r="AW33" i="4" s="1"/>
  <c r="AC33" i="4"/>
  <c r="AX33" i="4" s="1"/>
  <c r="AM33" i="4"/>
  <c r="AV33" i="4"/>
  <c r="AY33" i="4"/>
  <c r="AZ33" i="4"/>
  <c r="BA33" i="4"/>
  <c r="BB33" i="4"/>
  <c r="BC33" i="4"/>
  <c r="BD33" i="4"/>
  <c r="BM33" i="4"/>
  <c r="BN33" i="4"/>
  <c r="BO33" i="4"/>
  <c r="BP33" i="4"/>
  <c r="BQ33" i="4"/>
  <c r="BR33" i="4"/>
  <c r="V100" i="4"/>
  <c r="Z100" i="4"/>
  <c r="AA100" i="4"/>
  <c r="AB100" i="4"/>
  <c r="AW100" i="4" s="1"/>
  <c r="AC100" i="4"/>
  <c r="AX100" i="4" s="1"/>
  <c r="AM100" i="4"/>
  <c r="AV100" i="4"/>
  <c r="AY100" i="4"/>
  <c r="AZ100" i="4"/>
  <c r="BA100" i="4"/>
  <c r="BB100" i="4"/>
  <c r="BC100" i="4"/>
  <c r="BD100" i="4"/>
  <c r="BM100" i="4"/>
  <c r="BN100" i="4"/>
  <c r="BO100" i="4"/>
  <c r="BP100" i="4"/>
  <c r="BQ100" i="4"/>
  <c r="BR100" i="4"/>
  <c r="V60" i="4"/>
  <c r="Z60" i="4"/>
  <c r="AA60" i="4"/>
  <c r="AB60" i="4"/>
  <c r="AW60" i="4" s="1"/>
  <c r="AC60" i="4"/>
  <c r="AX60" i="4" s="1"/>
  <c r="AM60" i="4"/>
  <c r="AV60" i="4"/>
  <c r="AY60" i="4"/>
  <c r="AZ60" i="4"/>
  <c r="BA60" i="4"/>
  <c r="BB60" i="4"/>
  <c r="BC60" i="4"/>
  <c r="BD60" i="4"/>
  <c r="BM60" i="4"/>
  <c r="BN60" i="4"/>
  <c r="BO60" i="4"/>
  <c r="BP60" i="4"/>
  <c r="BQ60" i="4"/>
  <c r="BR60" i="4"/>
  <c r="V101" i="4"/>
  <c r="Z101" i="4"/>
  <c r="AU101" i="4" s="1"/>
  <c r="AA101" i="4"/>
  <c r="AV101" i="4" s="1"/>
  <c r="AB101" i="4"/>
  <c r="AW101" i="4" s="1"/>
  <c r="AC101" i="4"/>
  <c r="AX101" i="4" s="1"/>
  <c r="AM101" i="4"/>
  <c r="AY101" i="4"/>
  <c r="AZ101" i="4"/>
  <c r="BA101" i="4"/>
  <c r="BB101" i="4"/>
  <c r="BC101" i="4"/>
  <c r="BD101" i="4"/>
  <c r="BM101" i="4"/>
  <c r="BN101" i="4"/>
  <c r="BO101" i="4"/>
  <c r="BP101" i="4"/>
  <c r="BQ101" i="4"/>
  <c r="BR101" i="4"/>
  <c r="V102" i="4"/>
  <c r="Z102" i="4"/>
  <c r="AA102" i="4"/>
  <c r="AB102" i="4"/>
  <c r="AW102" i="4" s="1"/>
  <c r="AC102" i="4"/>
  <c r="AX102" i="4" s="1"/>
  <c r="AM102" i="4"/>
  <c r="AV102" i="4"/>
  <c r="AY102" i="4"/>
  <c r="AZ102" i="4"/>
  <c r="BA102" i="4"/>
  <c r="BB102" i="4"/>
  <c r="BC102" i="4"/>
  <c r="BD102" i="4"/>
  <c r="BM102" i="4"/>
  <c r="BN102" i="4"/>
  <c r="BO102" i="4"/>
  <c r="BP102" i="4"/>
  <c r="BQ102" i="4"/>
  <c r="BR102" i="4"/>
  <c r="V103" i="4"/>
  <c r="Z103" i="4"/>
  <c r="AA103" i="4"/>
  <c r="AB103" i="4"/>
  <c r="AW103" i="4" s="1"/>
  <c r="AC103" i="4"/>
  <c r="AX103" i="4" s="1"/>
  <c r="AM103" i="4"/>
  <c r="AV103" i="4"/>
  <c r="AY103" i="4"/>
  <c r="AZ103" i="4"/>
  <c r="BA103" i="4"/>
  <c r="BB103" i="4"/>
  <c r="BC103" i="4"/>
  <c r="BD103" i="4"/>
  <c r="BM103" i="4"/>
  <c r="BN103" i="4"/>
  <c r="BO103" i="4"/>
  <c r="BP103" i="4"/>
  <c r="BQ103" i="4"/>
  <c r="BR103" i="4"/>
  <c r="V104" i="4"/>
  <c r="Z104" i="4"/>
  <c r="AA104" i="4"/>
  <c r="AB104" i="4"/>
  <c r="AW104" i="4" s="1"/>
  <c r="AC104" i="4"/>
  <c r="AX104" i="4" s="1"/>
  <c r="AM104" i="4"/>
  <c r="AV104" i="4"/>
  <c r="AY104" i="4"/>
  <c r="AZ104" i="4"/>
  <c r="BA104" i="4"/>
  <c r="BB104" i="4"/>
  <c r="BC104" i="4"/>
  <c r="BD104" i="4"/>
  <c r="BM104" i="4"/>
  <c r="BN104" i="4"/>
  <c r="BO104" i="4"/>
  <c r="BP104" i="4"/>
  <c r="BQ104" i="4"/>
  <c r="BR104" i="4"/>
  <c r="V105" i="4"/>
  <c r="Z105" i="4"/>
  <c r="AU105" i="4" s="1"/>
  <c r="AA105" i="4"/>
  <c r="AV105" i="4" s="1"/>
  <c r="AB105" i="4"/>
  <c r="AW105" i="4" s="1"/>
  <c r="AC105" i="4"/>
  <c r="AX105" i="4" s="1"/>
  <c r="AM105" i="4"/>
  <c r="AY105" i="4"/>
  <c r="AZ105" i="4"/>
  <c r="BA105" i="4"/>
  <c r="BB105" i="4"/>
  <c r="BC105" i="4"/>
  <c r="BD105" i="4"/>
  <c r="BM105" i="4"/>
  <c r="BN105" i="4"/>
  <c r="BO105" i="4"/>
  <c r="BP105" i="4"/>
  <c r="BQ105" i="4"/>
  <c r="BR105" i="4"/>
  <c r="V106" i="4"/>
  <c r="Z106" i="4"/>
  <c r="AA106" i="4"/>
  <c r="AB106" i="4"/>
  <c r="AW106" i="4" s="1"/>
  <c r="AC106" i="4"/>
  <c r="AX106" i="4" s="1"/>
  <c r="AM106" i="4"/>
  <c r="AV106" i="4"/>
  <c r="AY106" i="4"/>
  <c r="AZ106" i="4"/>
  <c r="BA106" i="4"/>
  <c r="BB106" i="4"/>
  <c r="BC106" i="4"/>
  <c r="BD106" i="4"/>
  <c r="BM106" i="4"/>
  <c r="BN106" i="4"/>
  <c r="BO106" i="4"/>
  <c r="BP106" i="4"/>
  <c r="BQ106" i="4"/>
  <c r="BR106" i="4"/>
  <c r="V107" i="4"/>
  <c r="Z107" i="4"/>
  <c r="AA107" i="4"/>
  <c r="AB107" i="4"/>
  <c r="AW107" i="4" s="1"/>
  <c r="AC107" i="4"/>
  <c r="AX107" i="4" s="1"/>
  <c r="AM107" i="4"/>
  <c r="AV107" i="4"/>
  <c r="AY107" i="4"/>
  <c r="AZ107" i="4"/>
  <c r="BA107" i="4"/>
  <c r="BB107" i="4"/>
  <c r="BC107" i="4"/>
  <c r="BD107" i="4"/>
  <c r="BM107" i="4"/>
  <c r="BN107" i="4"/>
  <c r="BO107" i="4"/>
  <c r="BP107" i="4"/>
  <c r="BQ107" i="4"/>
  <c r="BR107" i="4"/>
  <c r="V108" i="4"/>
  <c r="Z108" i="4"/>
  <c r="AA108" i="4"/>
  <c r="AB108" i="4"/>
  <c r="AW108" i="4" s="1"/>
  <c r="AC108" i="4"/>
  <c r="AX108" i="4" s="1"/>
  <c r="AM108" i="4"/>
  <c r="AV108" i="4"/>
  <c r="AY108" i="4"/>
  <c r="AZ108" i="4"/>
  <c r="BA108" i="4"/>
  <c r="BB108" i="4"/>
  <c r="BC108" i="4"/>
  <c r="BD108" i="4"/>
  <c r="BM108" i="4"/>
  <c r="BN108" i="4"/>
  <c r="BO108" i="4"/>
  <c r="BP108" i="4"/>
  <c r="BQ108" i="4"/>
  <c r="BR108" i="4"/>
  <c r="V109" i="4"/>
  <c r="Z109" i="4"/>
  <c r="AU109" i="4" s="1"/>
  <c r="AA109" i="4"/>
  <c r="AV109" i="4" s="1"/>
  <c r="AB109" i="4"/>
  <c r="AW109" i="4" s="1"/>
  <c r="AC109" i="4"/>
  <c r="AX109" i="4" s="1"/>
  <c r="AM109" i="4"/>
  <c r="AY109" i="4"/>
  <c r="AZ109" i="4"/>
  <c r="BA109" i="4"/>
  <c r="BB109" i="4"/>
  <c r="BC109" i="4"/>
  <c r="BD109" i="4"/>
  <c r="BM109" i="4"/>
  <c r="BN109" i="4"/>
  <c r="BO109" i="4"/>
  <c r="BP109" i="4"/>
  <c r="BQ109" i="4"/>
  <c r="BR109" i="4"/>
  <c r="V110" i="4"/>
  <c r="Z110" i="4"/>
  <c r="AA110" i="4"/>
  <c r="AB110" i="4"/>
  <c r="AW110" i="4" s="1"/>
  <c r="AC110" i="4"/>
  <c r="AX110" i="4" s="1"/>
  <c r="AM110" i="4"/>
  <c r="AV110" i="4"/>
  <c r="AY110" i="4"/>
  <c r="AZ110" i="4"/>
  <c r="BA110" i="4"/>
  <c r="BB110" i="4"/>
  <c r="BC110" i="4"/>
  <c r="BD110" i="4"/>
  <c r="BM110" i="4"/>
  <c r="BN110" i="4"/>
  <c r="BO110" i="4"/>
  <c r="BP110" i="4"/>
  <c r="BQ110" i="4"/>
  <c r="BR110" i="4"/>
  <c r="V111" i="4"/>
  <c r="Z111" i="4"/>
  <c r="AA111" i="4"/>
  <c r="AB111" i="4"/>
  <c r="AW111" i="4" s="1"/>
  <c r="AC111" i="4"/>
  <c r="AX111" i="4" s="1"/>
  <c r="AM111" i="4"/>
  <c r="AV111" i="4"/>
  <c r="AY111" i="4"/>
  <c r="AZ111" i="4"/>
  <c r="BA111" i="4"/>
  <c r="BB111" i="4"/>
  <c r="BC111" i="4"/>
  <c r="BD111" i="4"/>
  <c r="BM111" i="4"/>
  <c r="BN111" i="4"/>
  <c r="BO111" i="4"/>
  <c r="BP111" i="4"/>
  <c r="BQ111" i="4"/>
  <c r="BR111" i="4"/>
  <c r="V112" i="4"/>
  <c r="Z112" i="4"/>
  <c r="AA112" i="4"/>
  <c r="AB112" i="4"/>
  <c r="AW112" i="4" s="1"/>
  <c r="AC112" i="4"/>
  <c r="AX112" i="4" s="1"/>
  <c r="AM112" i="4"/>
  <c r="AV112" i="4"/>
  <c r="AY112" i="4"/>
  <c r="AZ112" i="4"/>
  <c r="BA112" i="4"/>
  <c r="BB112" i="4"/>
  <c r="BC112" i="4"/>
  <c r="BD112" i="4"/>
  <c r="BM112" i="4"/>
  <c r="BN112" i="4"/>
  <c r="BO112" i="4"/>
  <c r="BP112" i="4"/>
  <c r="BQ112" i="4"/>
  <c r="BR112" i="4"/>
  <c r="V61" i="4"/>
  <c r="Z61" i="4"/>
  <c r="AU61" i="4" s="1"/>
  <c r="AA61" i="4"/>
  <c r="AV61" i="4" s="1"/>
  <c r="AB61" i="4"/>
  <c r="AW61" i="4" s="1"/>
  <c r="AC61" i="4"/>
  <c r="AX61" i="4" s="1"/>
  <c r="AM61" i="4"/>
  <c r="AY61" i="4"/>
  <c r="AZ61" i="4"/>
  <c r="BA61" i="4"/>
  <c r="BB61" i="4"/>
  <c r="BC61" i="4"/>
  <c r="BD61" i="4"/>
  <c r="BM61" i="4"/>
  <c r="BN61" i="4"/>
  <c r="BO61" i="4"/>
  <c r="BP61" i="4"/>
  <c r="BQ61" i="4"/>
  <c r="BR61" i="4"/>
  <c r="V113" i="4"/>
  <c r="Z113" i="4"/>
  <c r="AA113" i="4"/>
  <c r="AB113" i="4"/>
  <c r="AW113" i="4" s="1"/>
  <c r="AC113" i="4"/>
  <c r="AX113" i="4" s="1"/>
  <c r="AM113" i="4"/>
  <c r="AV113" i="4"/>
  <c r="AY113" i="4"/>
  <c r="AZ113" i="4"/>
  <c r="BA113" i="4"/>
  <c r="BB113" i="4"/>
  <c r="BC113" i="4"/>
  <c r="BD113" i="4"/>
  <c r="BM113" i="4"/>
  <c r="BN113" i="4"/>
  <c r="BO113" i="4"/>
  <c r="BP113" i="4"/>
  <c r="BQ113" i="4"/>
  <c r="BR113" i="4"/>
  <c r="V114" i="4"/>
  <c r="Z114" i="4"/>
  <c r="AA114" i="4"/>
  <c r="AB114" i="4"/>
  <c r="AW114" i="4" s="1"/>
  <c r="AC114" i="4"/>
  <c r="AX114" i="4" s="1"/>
  <c r="AM114" i="4"/>
  <c r="AV114" i="4"/>
  <c r="AY114" i="4"/>
  <c r="AZ114" i="4"/>
  <c r="BA114" i="4"/>
  <c r="BB114" i="4"/>
  <c r="BC114" i="4"/>
  <c r="BD114" i="4"/>
  <c r="BM114" i="4"/>
  <c r="BN114" i="4"/>
  <c r="BO114" i="4"/>
  <c r="BP114" i="4"/>
  <c r="BQ114" i="4"/>
  <c r="BR114" i="4"/>
  <c r="V115" i="4"/>
  <c r="Z115" i="4"/>
  <c r="AA115" i="4"/>
  <c r="AB115" i="4"/>
  <c r="AW115" i="4" s="1"/>
  <c r="AC115" i="4"/>
  <c r="AX115" i="4" s="1"/>
  <c r="AM115" i="4"/>
  <c r="AV115" i="4"/>
  <c r="AY115" i="4"/>
  <c r="AZ115" i="4"/>
  <c r="BA115" i="4"/>
  <c r="BB115" i="4"/>
  <c r="BC115" i="4"/>
  <c r="BD115" i="4"/>
  <c r="BM115" i="4"/>
  <c r="BN115" i="4"/>
  <c r="BO115" i="4"/>
  <c r="BP115" i="4"/>
  <c r="BQ115" i="4"/>
  <c r="BR115" i="4"/>
  <c r="V116" i="4"/>
  <c r="Z116" i="4"/>
  <c r="AU116" i="4" s="1"/>
  <c r="AA116" i="4"/>
  <c r="AV116" i="4" s="1"/>
  <c r="AB116" i="4"/>
  <c r="AW116" i="4" s="1"/>
  <c r="AC116" i="4"/>
  <c r="AX116" i="4" s="1"/>
  <c r="AM116" i="4"/>
  <c r="AY116" i="4"/>
  <c r="AZ116" i="4"/>
  <c r="BA116" i="4"/>
  <c r="BB116" i="4"/>
  <c r="BC116" i="4"/>
  <c r="BD116" i="4"/>
  <c r="BM116" i="4"/>
  <c r="BN116" i="4"/>
  <c r="BO116" i="4"/>
  <c r="BP116" i="4"/>
  <c r="BQ116" i="4"/>
  <c r="BR116" i="4"/>
  <c r="V59" i="4"/>
  <c r="Z59" i="4"/>
  <c r="AA59" i="4"/>
  <c r="AB59" i="4"/>
  <c r="AW59" i="4" s="1"/>
  <c r="AC59" i="4"/>
  <c r="AX59" i="4" s="1"/>
  <c r="AM59" i="4"/>
  <c r="AV59" i="4"/>
  <c r="AY59" i="4"/>
  <c r="AZ59" i="4"/>
  <c r="BA59" i="4"/>
  <c r="BB59" i="4"/>
  <c r="BC59" i="4"/>
  <c r="BD59" i="4"/>
  <c r="BM59" i="4"/>
  <c r="BN59" i="4"/>
  <c r="BO59" i="4"/>
  <c r="BP59" i="4"/>
  <c r="BQ59" i="4"/>
  <c r="BR59" i="4"/>
  <c r="V49" i="4"/>
  <c r="Z49" i="4"/>
  <c r="AA49" i="4"/>
  <c r="AB49" i="4"/>
  <c r="AW49" i="4" s="1"/>
  <c r="AC49" i="4"/>
  <c r="AX49" i="4" s="1"/>
  <c r="AM49" i="4"/>
  <c r="AV49" i="4"/>
  <c r="AY49" i="4"/>
  <c r="AZ49" i="4"/>
  <c r="BA49" i="4"/>
  <c r="BB49" i="4"/>
  <c r="BC49" i="4"/>
  <c r="BD49" i="4"/>
  <c r="BM49" i="4"/>
  <c r="BN49" i="4"/>
  <c r="BO49" i="4"/>
  <c r="BP49" i="4"/>
  <c r="BQ49" i="4"/>
  <c r="BR49" i="4"/>
  <c r="V117" i="4"/>
  <c r="Z117" i="4"/>
  <c r="AA117" i="4"/>
  <c r="AB117" i="4"/>
  <c r="AW117" i="4" s="1"/>
  <c r="AC117" i="4"/>
  <c r="AX117" i="4" s="1"/>
  <c r="AM117" i="4"/>
  <c r="AV117" i="4"/>
  <c r="AY117" i="4"/>
  <c r="AZ117" i="4"/>
  <c r="BA117" i="4"/>
  <c r="BB117" i="4"/>
  <c r="BC117" i="4"/>
  <c r="BD117" i="4"/>
  <c r="BM117" i="4"/>
  <c r="BN117" i="4"/>
  <c r="BO117" i="4"/>
  <c r="BP117" i="4"/>
  <c r="BQ117" i="4"/>
  <c r="BR117" i="4"/>
  <c r="V118" i="4"/>
  <c r="Z118" i="4"/>
  <c r="AU118" i="4" s="1"/>
  <c r="AA118" i="4"/>
  <c r="AB118" i="4"/>
  <c r="AW118" i="4" s="1"/>
  <c r="AC118" i="4"/>
  <c r="AX118" i="4" s="1"/>
  <c r="AM118" i="4"/>
  <c r="AY118" i="4"/>
  <c r="AZ118" i="4"/>
  <c r="BA118" i="4"/>
  <c r="BB118" i="4"/>
  <c r="BC118" i="4"/>
  <c r="BD118" i="4"/>
  <c r="BM118" i="4"/>
  <c r="BN118" i="4"/>
  <c r="BO118" i="4"/>
  <c r="BP118" i="4"/>
  <c r="BQ118" i="4"/>
  <c r="BR118" i="4"/>
  <c r="V119" i="4"/>
  <c r="Z119" i="4"/>
  <c r="AU119" i="4" s="1"/>
  <c r="AA119" i="4"/>
  <c r="AB119" i="4"/>
  <c r="AW119" i="4" s="1"/>
  <c r="AC119" i="4"/>
  <c r="AX119" i="4" s="1"/>
  <c r="AM119" i="4"/>
  <c r="AV119" i="4"/>
  <c r="AY119" i="4"/>
  <c r="AZ119" i="4"/>
  <c r="BA119" i="4"/>
  <c r="BB119" i="4"/>
  <c r="BC119" i="4"/>
  <c r="BD119" i="4"/>
  <c r="BM119" i="4"/>
  <c r="BN119" i="4"/>
  <c r="BO119" i="4"/>
  <c r="BP119" i="4"/>
  <c r="BQ119" i="4"/>
  <c r="BR119" i="4"/>
  <c r="V120" i="4"/>
  <c r="Z120" i="4"/>
  <c r="AU120" i="4" s="1"/>
  <c r="AA120" i="4"/>
  <c r="AB120" i="4"/>
  <c r="AW120" i="4" s="1"/>
  <c r="AC120" i="4"/>
  <c r="AX120" i="4" s="1"/>
  <c r="AM120" i="4"/>
  <c r="AY120" i="4"/>
  <c r="AZ120" i="4"/>
  <c r="BA120" i="4"/>
  <c r="BB120" i="4"/>
  <c r="BC120" i="4"/>
  <c r="BD120" i="4"/>
  <c r="BM120" i="4"/>
  <c r="BN120" i="4"/>
  <c r="BO120" i="4"/>
  <c r="BP120" i="4"/>
  <c r="BQ120" i="4"/>
  <c r="BR120" i="4"/>
  <c r="AN31" i="4" l="1"/>
  <c r="AN42" i="4"/>
  <c r="AN51" i="4"/>
  <c r="AJ51" i="4" s="1"/>
  <c r="AN9" i="4"/>
  <c r="AN53" i="4"/>
  <c r="AJ53" i="4" s="1"/>
  <c r="AN10" i="4"/>
  <c r="AN22" i="4"/>
  <c r="AN55" i="4"/>
  <c r="AJ55" i="4" s="1"/>
  <c r="AN18" i="4"/>
  <c r="AN37" i="4"/>
  <c r="AN29" i="4"/>
  <c r="AN20" i="4"/>
  <c r="AN65" i="4"/>
  <c r="AJ65" i="4" s="1"/>
  <c r="AN81" i="4"/>
  <c r="AJ81" i="4" s="1"/>
  <c r="AN35" i="4"/>
  <c r="AU81" i="4"/>
  <c r="AW55" i="4"/>
  <c r="AU35" i="4"/>
  <c r="AK26" i="4"/>
  <c r="AN63" i="4"/>
  <c r="AJ63" i="4" s="1"/>
  <c r="AN73" i="4"/>
  <c r="AJ73" i="4" s="1"/>
  <c r="AN79" i="4"/>
  <c r="AJ79" i="4" s="1"/>
  <c r="AN76" i="4"/>
  <c r="AJ76" i="4" s="1"/>
  <c r="AU73" i="4"/>
  <c r="AN69" i="4"/>
  <c r="AJ69" i="4" s="1"/>
  <c r="AW63" i="4"/>
  <c r="AN41" i="4"/>
  <c r="AN30" i="4"/>
  <c r="AN28" i="4"/>
  <c r="AN40" i="4"/>
  <c r="AJ40" i="4" s="1"/>
  <c r="AK11" i="4"/>
  <c r="AN34" i="4"/>
  <c r="AW20" i="4"/>
  <c r="AN90" i="4"/>
  <c r="AJ90" i="4" s="1"/>
  <c r="AU41" i="4"/>
  <c r="AW79" i="4"/>
  <c r="AN46" i="4"/>
  <c r="AJ46" i="4" s="1"/>
  <c r="AN75" i="4"/>
  <c r="AJ75" i="4" s="1"/>
  <c r="AN71" i="4"/>
  <c r="AJ71" i="4" s="1"/>
  <c r="AN67" i="4"/>
  <c r="AJ67" i="4" s="1"/>
  <c r="AK17" i="4"/>
  <c r="AV11" i="4"/>
  <c r="AW23" i="4"/>
  <c r="AN49" i="4"/>
  <c r="AJ49" i="4" s="1"/>
  <c r="AN114" i="4"/>
  <c r="AJ114" i="4" s="1"/>
  <c r="AN111" i="4"/>
  <c r="AJ111" i="4" s="1"/>
  <c r="AN107" i="4"/>
  <c r="AJ107" i="4" s="1"/>
  <c r="AN103" i="4"/>
  <c r="AJ103" i="4" s="1"/>
  <c r="AN100" i="4"/>
  <c r="AJ100" i="4" s="1"/>
  <c r="AN97" i="4"/>
  <c r="AJ97" i="4" s="1"/>
  <c r="AN94" i="4"/>
  <c r="AJ94" i="4" s="1"/>
  <c r="AN86" i="4"/>
  <c r="AJ86" i="4" s="1"/>
  <c r="AU49" i="4"/>
  <c r="AU114" i="4"/>
  <c r="AU111" i="4"/>
  <c r="AT111" i="4" s="1"/>
  <c r="AU107" i="4"/>
  <c r="AU103" i="4"/>
  <c r="AT103" i="4" s="1"/>
  <c r="AU100" i="4"/>
  <c r="AU97" i="4"/>
  <c r="AT97" i="4" s="1"/>
  <c r="AU94" i="4"/>
  <c r="AW90" i="4"/>
  <c r="AT90" i="4" s="1"/>
  <c r="AU86" i="4"/>
  <c r="AN84" i="4"/>
  <c r="AJ84" i="4" s="1"/>
  <c r="AN80" i="4"/>
  <c r="AJ80" i="4" s="1"/>
  <c r="AN44" i="4"/>
  <c r="AJ44" i="4" s="1"/>
  <c r="AW80" i="4"/>
  <c r="AW75" i="4"/>
  <c r="AT75" i="4" s="1"/>
  <c r="AW71" i="4"/>
  <c r="AW67" i="4"/>
  <c r="AT67" i="4" s="1"/>
  <c r="AK118" i="4"/>
  <c r="AK120" i="4"/>
  <c r="AV118" i="4"/>
  <c r="AN116" i="4"/>
  <c r="AJ116" i="4" s="1"/>
  <c r="AN61" i="4"/>
  <c r="AJ61" i="4" s="1"/>
  <c r="AN109" i="4"/>
  <c r="AJ109" i="4" s="1"/>
  <c r="AN105" i="4"/>
  <c r="AJ105" i="4" s="1"/>
  <c r="AN101" i="4"/>
  <c r="AJ101" i="4" s="1"/>
  <c r="AN99" i="4"/>
  <c r="AJ99" i="4" s="1"/>
  <c r="AN96" i="4"/>
  <c r="AJ96" i="4" s="1"/>
  <c r="AN92" i="4"/>
  <c r="AJ92" i="4" s="1"/>
  <c r="AN88" i="4"/>
  <c r="AJ88" i="4" s="1"/>
  <c r="AN45" i="4"/>
  <c r="AJ45" i="4" s="1"/>
  <c r="AV120" i="4"/>
  <c r="AT120" i="4" s="1"/>
  <c r="R120" i="4"/>
  <c r="C120" i="4" s="1"/>
  <c r="R118" i="4"/>
  <c r="A118" i="4" s="1"/>
  <c r="R26" i="4"/>
  <c r="AG10" i="17" s="1"/>
  <c r="R9" i="4"/>
  <c r="AN118" i="4"/>
  <c r="AJ118" i="4" s="1"/>
  <c r="R17" i="4"/>
  <c r="AE8" i="17" s="1"/>
  <c r="R11" i="4"/>
  <c r="AE11" i="17" s="1"/>
  <c r="AT17" i="4"/>
  <c r="AT12" i="4"/>
  <c r="AT11" i="4"/>
  <c r="AT22" i="4"/>
  <c r="AT9" i="4"/>
  <c r="AT119" i="4"/>
  <c r="AT118" i="4"/>
  <c r="AT15" i="4"/>
  <c r="AT26" i="4"/>
  <c r="AT20" i="4"/>
  <c r="AT8" i="4"/>
  <c r="A120" i="4"/>
  <c r="K120" i="4"/>
  <c r="AN119" i="4"/>
  <c r="AJ119" i="4" s="1"/>
  <c r="G118" i="4"/>
  <c r="AN120" i="4"/>
  <c r="AJ120" i="4" s="1"/>
  <c r="AK119" i="4"/>
  <c r="R119" i="4"/>
  <c r="AK117" i="4"/>
  <c r="R117" i="4"/>
  <c r="AT49" i="4"/>
  <c r="AK59" i="4"/>
  <c r="R59" i="4"/>
  <c r="AG18" i="17" s="1"/>
  <c r="AT116" i="4"/>
  <c r="AK115" i="4"/>
  <c r="R115" i="4"/>
  <c r="AT114" i="4"/>
  <c r="AK113" i="4"/>
  <c r="R113" i="4"/>
  <c r="AT61" i="4"/>
  <c r="AK112" i="4"/>
  <c r="R112" i="4"/>
  <c r="AK110" i="4"/>
  <c r="R110" i="4"/>
  <c r="AT109" i="4"/>
  <c r="AK108" i="4"/>
  <c r="R108" i="4"/>
  <c r="AT107" i="4"/>
  <c r="AK106" i="4"/>
  <c r="R106" i="4"/>
  <c r="AT105" i="4"/>
  <c r="AK104" i="4"/>
  <c r="R104" i="4"/>
  <c r="AK102" i="4"/>
  <c r="R102" i="4"/>
  <c r="AT101" i="4"/>
  <c r="AK60" i="4"/>
  <c r="R60" i="4"/>
  <c r="AE20" i="13" s="1"/>
  <c r="AT100" i="4"/>
  <c r="AK33" i="4"/>
  <c r="R33" i="4"/>
  <c r="AI9" i="14" s="1"/>
  <c r="AT99" i="4"/>
  <c r="AK98" i="4"/>
  <c r="R98" i="4"/>
  <c r="AK32" i="4"/>
  <c r="R32" i="4"/>
  <c r="AT96" i="4"/>
  <c r="AK95" i="4"/>
  <c r="R95" i="4"/>
  <c r="AT94" i="4"/>
  <c r="AK93" i="4"/>
  <c r="R93" i="4"/>
  <c r="AT92" i="4"/>
  <c r="AK91" i="4"/>
  <c r="R91" i="4"/>
  <c r="AK89" i="4"/>
  <c r="R89" i="4"/>
  <c r="AT88" i="4"/>
  <c r="AK87" i="4"/>
  <c r="R87" i="4"/>
  <c r="AT86" i="4"/>
  <c r="AK85" i="4"/>
  <c r="R85" i="4"/>
  <c r="AT45" i="4"/>
  <c r="AK54" i="4"/>
  <c r="R54" i="4"/>
  <c r="AT84" i="4"/>
  <c r="AK83" i="4"/>
  <c r="R83" i="4"/>
  <c r="AT41" i="4"/>
  <c r="AK82" i="4"/>
  <c r="R82" i="4"/>
  <c r="AT81" i="4"/>
  <c r="AK56" i="4"/>
  <c r="R56" i="4"/>
  <c r="AT80" i="4"/>
  <c r="AK58" i="4"/>
  <c r="R58" i="4"/>
  <c r="AE18" i="17" s="1"/>
  <c r="AT79" i="4"/>
  <c r="AK78" i="4"/>
  <c r="R78" i="4"/>
  <c r="AT46" i="4"/>
  <c r="AK77" i="4"/>
  <c r="R77" i="4"/>
  <c r="AT76" i="4"/>
  <c r="AK50" i="4"/>
  <c r="AK74" i="4"/>
  <c r="AN74" i="4"/>
  <c r="AJ74" i="4" s="1"/>
  <c r="AU74" i="4"/>
  <c r="AT74" i="4" s="1"/>
  <c r="R74" i="4"/>
  <c r="AT71" i="4"/>
  <c r="AK70" i="4"/>
  <c r="AN70" i="4"/>
  <c r="AJ70" i="4" s="1"/>
  <c r="AU70" i="4"/>
  <c r="AT70" i="4" s="1"/>
  <c r="R70" i="4"/>
  <c r="AK66" i="4"/>
  <c r="AN66" i="4"/>
  <c r="AJ66" i="4" s="1"/>
  <c r="AU66" i="4"/>
  <c r="AT66" i="4" s="1"/>
  <c r="R66" i="4"/>
  <c r="AT63" i="4"/>
  <c r="AK62" i="4"/>
  <c r="AN62" i="4"/>
  <c r="AJ62" i="4" s="1"/>
  <c r="AU62" i="4"/>
  <c r="AT62" i="4" s="1"/>
  <c r="R62" i="4"/>
  <c r="AT55" i="4"/>
  <c r="AK43" i="4"/>
  <c r="AN43" i="4"/>
  <c r="AJ43" i="4" s="1"/>
  <c r="AU43" i="4"/>
  <c r="AT43" i="4" s="1"/>
  <c r="R43" i="4"/>
  <c r="AG8" i="17" s="1"/>
  <c r="AT53" i="4"/>
  <c r="AK52" i="4"/>
  <c r="AN52" i="4"/>
  <c r="AJ52" i="4" s="1"/>
  <c r="AU52" i="4"/>
  <c r="AT52" i="4" s="1"/>
  <c r="R52" i="4"/>
  <c r="AT35" i="4"/>
  <c r="AK38" i="4"/>
  <c r="AN38" i="4"/>
  <c r="AJ38" i="4" s="1"/>
  <c r="AU38" i="4"/>
  <c r="AT38" i="4" s="1"/>
  <c r="R38" i="4"/>
  <c r="AG12" i="12" s="1"/>
  <c r="AT18" i="4"/>
  <c r="AW24" i="4"/>
  <c r="AK24" i="4"/>
  <c r="AN24" i="4"/>
  <c r="AU24" i="4"/>
  <c r="R24" i="4"/>
  <c r="AG13" i="17" s="1"/>
  <c r="AT30" i="4"/>
  <c r="AW19" i="4"/>
  <c r="AK19" i="4"/>
  <c r="AN19" i="4"/>
  <c r="AU19" i="4"/>
  <c r="R19" i="4"/>
  <c r="AT28" i="4"/>
  <c r="AW13" i="4"/>
  <c r="AK13" i="4"/>
  <c r="AN13" i="4"/>
  <c r="AU13" i="4"/>
  <c r="R13" i="4"/>
  <c r="AE14" i="17" s="1"/>
  <c r="AT40" i="4"/>
  <c r="AW39" i="4"/>
  <c r="R39" i="4"/>
  <c r="AK39" i="4"/>
  <c r="AN39" i="4"/>
  <c r="AU39" i="4"/>
  <c r="AT39" i="4" s="1"/>
  <c r="AN15" i="4"/>
  <c r="AK15" i="4"/>
  <c r="AT23" i="4"/>
  <c r="AW16" i="4"/>
  <c r="AK16" i="4"/>
  <c r="AN16" i="4"/>
  <c r="AU16" i="4"/>
  <c r="R16" i="4"/>
  <c r="AE17" i="17" s="1"/>
  <c r="I9" i="4"/>
  <c r="G9" i="4"/>
  <c r="AU117" i="4"/>
  <c r="AT117" i="4" s="1"/>
  <c r="AN117" i="4"/>
  <c r="AJ117" i="4" s="1"/>
  <c r="AK49" i="4"/>
  <c r="R49" i="4"/>
  <c r="AG16" i="14" s="1"/>
  <c r="AU59" i="4"/>
  <c r="AT59" i="4" s="1"/>
  <c r="AN59" i="4"/>
  <c r="AK116" i="4"/>
  <c r="R116" i="4"/>
  <c r="AU115" i="4"/>
  <c r="AT115" i="4" s="1"/>
  <c r="AN115" i="4"/>
  <c r="AJ115" i="4" s="1"/>
  <c r="AK114" i="4"/>
  <c r="R114" i="4"/>
  <c r="AU113" i="4"/>
  <c r="AT113" i="4" s="1"/>
  <c r="AN113" i="4"/>
  <c r="AJ113" i="4" s="1"/>
  <c r="AK61" i="4"/>
  <c r="R61" i="4"/>
  <c r="AU112" i="4"/>
  <c r="AT112" i="4" s="1"/>
  <c r="AN112" i="4"/>
  <c r="AJ112" i="4" s="1"/>
  <c r="AK111" i="4"/>
  <c r="R111" i="4"/>
  <c r="AU110" i="4"/>
  <c r="AT110" i="4" s="1"/>
  <c r="AN110" i="4"/>
  <c r="AJ110" i="4" s="1"/>
  <c r="AK109" i="4"/>
  <c r="R109" i="4"/>
  <c r="AU108" i="4"/>
  <c r="AT108" i="4" s="1"/>
  <c r="AN108" i="4"/>
  <c r="AJ108" i="4" s="1"/>
  <c r="AK107" i="4"/>
  <c r="R107" i="4"/>
  <c r="AU106" i="4"/>
  <c r="AT106" i="4" s="1"/>
  <c r="AN106" i="4"/>
  <c r="AJ106" i="4" s="1"/>
  <c r="AK105" i="4"/>
  <c r="R105" i="4"/>
  <c r="AU104" i="4"/>
  <c r="AT104" i="4" s="1"/>
  <c r="AN104" i="4"/>
  <c r="AJ104" i="4" s="1"/>
  <c r="AK103" i="4"/>
  <c r="R103" i="4"/>
  <c r="AU102" i="4"/>
  <c r="AT102" i="4" s="1"/>
  <c r="AN102" i="4"/>
  <c r="AJ102" i="4" s="1"/>
  <c r="AK101" i="4"/>
  <c r="R101" i="4"/>
  <c r="AU60" i="4"/>
  <c r="AT60" i="4" s="1"/>
  <c r="AN60" i="4"/>
  <c r="AJ60" i="4" s="1"/>
  <c r="AK100" i="4"/>
  <c r="R100" i="4"/>
  <c r="AU33" i="4"/>
  <c r="AT33" i="4" s="1"/>
  <c r="AN33" i="4"/>
  <c r="AK99" i="4"/>
  <c r="R99" i="4"/>
  <c r="AU98" i="4"/>
  <c r="AT98" i="4" s="1"/>
  <c r="AN98" i="4"/>
  <c r="AJ98" i="4" s="1"/>
  <c r="AK97" i="4"/>
  <c r="R97" i="4"/>
  <c r="AU32" i="4"/>
  <c r="AT32" i="4" s="1"/>
  <c r="AN32" i="4"/>
  <c r="AK96" i="4"/>
  <c r="R96" i="4"/>
  <c r="AU95" i="4"/>
  <c r="AT95" i="4" s="1"/>
  <c r="AN95" i="4"/>
  <c r="AJ95" i="4" s="1"/>
  <c r="AK94" i="4"/>
  <c r="R94" i="4"/>
  <c r="AU93" i="4"/>
  <c r="AT93" i="4" s="1"/>
  <c r="AN93" i="4"/>
  <c r="AJ93" i="4" s="1"/>
  <c r="AK92" i="4"/>
  <c r="R92" i="4"/>
  <c r="AU91" i="4"/>
  <c r="AT91" i="4" s="1"/>
  <c r="AN91" i="4"/>
  <c r="AJ91" i="4" s="1"/>
  <c r="AK90" i="4"/>
  <c r="R90" i="4"/>
  <c r="AU89" i="4"/>
  <c r="AT89" i="4" s="1"/>
  <c r="AN89" i="4"/>
  <c r="AJ89" i="4" s="1"/>
  <c r="AK88" i="4"/>
  <c r="R88" i="4"/>
  <c r="AU87" i="4"/>
  <c r="AT87" i="4" s="1"/>
  <c r="AN87" i="4"/>
  <c r="AJ87" i="4" s="1"/>
  <c r="AK86" i="4"/>
  <c r="R86" i="4"/>
  <c r="AU85" i="4"/>
  <c r="AT85" i="4" s="1"/>
  <c r="AN85" i="4"/>
  <c r="AJ85" i="4" s="1"/>
  <c r="AK45" i="4"/>
  <c r="R45" i="4"/>
  <c r="AG11" i="13" s="1"/>
  <c r="AU54" i="4"/>
  <c r="AT54" i="4" s="1"/>
  <c r="AN54" i="4"/>
  <c r="AK84" i="4"/>
  <c r="R84" i="4"/>
  <c r="AU83" i="4"/>
  <c r="AT83" i="4" s="1"/>
  <c r="AN83" i="4"/>
  <c r="AJ83" i="4" s="1"/>
  <c r="AK41" i="4"/>
  <c r="R41" i="4"/>
  <c r="AU82" i="4"/>
  <c r="AT82" i="4" s="1"/>
  <c r="AN82" i="4"/>
  <c r="AJ82" i="4" s="1"/>
  <c r="AK81" i="4"/>
  <c r="R81" i="4"/>
  <c r="AU56" i="4"/>
  <c r="AT56" i="4" s="1"/>
  <c r="AN56" i="4"/>
  <c r="AK80" i="4"/>
  <c r="R80" i="4"/>
  <c r="AU58" i="4"/>
  <c r="AT58" i="4" s="1"/>
  <c r="AN58" i="4"/>
  <c r="AK79" i="4"/>
  <c r="R79" i="4"/>
  <c r="AU78" i="4"/>
  <c r="AT78" i="4" s="1"/>
  <c r="AN78" i="4"/>
  <c r="AJ78" i="4" s="1"/>
  <c r="AK46" i="4"/>
  <c r="R46" i="4"/>
  <c r="AE14" i="12" s="1"/>
  <c r="AU77" i="4"/>
  <c r="AT77" i="4" s="1"/>
  <c r="AN77" i="4"/>
  <c r="AJ77" i="4" s="1"/>
  <c r="AK76" i="4"/>
  <c r="R76" i="4"/>
  <c r="AU50" i="4"/>
  <c r="AT50" i="4" s="1"/>
  <c r="AN50" i="4"/>
  <c r="AJ50" i="4" s="1"/>
  <c r="R50" i="4"/>
  <c r="AE21" i="12" s="1"/>
  <c r="AT73" i="4"/>
  <c r="AK72" i="4"/>
  <c r="AN72" i="4"/>
  <c r="AJ72" i="4" s="1"/>
  <c r="AU72" i="4"/>
  <c r="AT72" i="4" s="1"/>
  <c r="R72" i="4"/>
  <c r="AT69" i="4"/>
  <c r="AK68" i="4"/>
  <c r="AN68" i="4"/>
  <c r="AJ68" i="4" s="1"/>
  <c r="AU68" i="4"/>
  <c r="AT68" i="4" s="1"/>
  <c r="R68" i="4"/>
  <c r="AT65" i="4"/>
  <c r="AK64" i="4"/>
  <c r="AN64" i="4"/>
  <c r="AJ64" i="4" s="1"/>
  <c r="AU64" i="4"/>
  <c r="AT64" i="4" s="1"/>
  <c r="R64" i="4"/>
  <c r="AT44" i="4"/>
  <c r="AK57" i="4"/>
  <c r="AN57" i="4"/>
  <c r="AJ57" i="4" s="1"/>
  <c r="AU57" i="4"/>
  <c r="AT57" i="4" s="1"/>
  <c r="R57" i="4"/>
  <c r="AT42" i="4"/>
  <c r="AK48" i="4"/>
  <c r="AN48" i="4"/>
  <c r="AU48" i="4"/>
  <c r="AT48" i="4" s="1"/>
  <c r="R48" i="4"/>
  <c r="AG21" i="12" s="1"/>
  <c r="AT51" i="4"/>
  <c r="AK47" i="4"/>
  <c r="AN47" i="4"/>
  <c r="AU47" i="4"/>
  <c r="AT47" i="4" s="1"/>
  <c r="R47" i="4"/>
  <c r="AE15" i="15" s="1"/>
  <c r="AT36" i="4"/>
  <c r="AK75" i="4"/>
  <c r="R75" i="4"/>
  <c r="AK73" i="4"/>
  <c r="R73" i="4"/>
  <c r="AK71" i="4"/>
  <c r="R71" i="4"/>
  <c r="AK69" i="4"/>
  <c r="R69" i="4"/>
  <c r="AK67" i="4"/>
  <c r="R67" i="4"/>
  <c r="AK65" i="4"/>
  <c r="R65" i="4"/>
  <c r="AK63" i="4"/>
  <c r="R63" i="4"/>
  <c r="AK44" i="4"/>
  <c r="R44" i="4"/>
  <c r="AE11" i="13" s="1"/>
  <c r="AD11" i="13" s="1"/>
  <c r="AK55" i="4"/>
  <c r="R55" i="4"/>
  <c r="AK42" i="4"/>
  <c r="R42" i="4"/>
  <c r="AK53" i="4"/>
  <c r="R53" i="4"/>
  <c r="AK51" i="4"/>
  <c r="R51" i="4"/>
  <c r="AK35" i="4"/>
  <c r="R35" i="4"/>
  <c r="AK36" i="4"/>
  <c r="AN36" i="4"/>
  <c r="R36" i="4"/>
  <c r="AT29" i="4"/>
  <c r="AK27" i="4"/>
  <c r="AN27" i="4"/>
  <c r="AU27" i="4"/>
  <c r="AT27" i="4" s="1"/>
  <c r="R27" i="4"/>
  <c r="AG17" i="17" s="1"/>
  <c r="AT37" i="4"/>
  <c r="AK21" i="4"/>
  <c r="AN21" i="4"/>
  <c r="AU21" i="4"/>
  <c r="AT21" i="4" s="1"/>
  <c r="R21" i="4"/>
  <c r="AG12" i="17" s="1"/>
  <c r="AT31" i="4"/>
  <c r="AK25" i="4"/>
  <c r="AN25" i="4"/>
  <c r="AU25" i="4"/>
  <c r="AT25" i="4" s="1"/>
  <c r="R25" i="4"/>
  <c r="AK18" i="4"/>
  <c r="R18" i="4"/>
  <c r="AK9" i="14" s="1"/>
  <c r="AK29" i="4"/>
  <c r="R29" i="4"/>
  <c r="AE16" i="17" s="1"/>
  <c r="AK30" i="4"/>
  <c r="R30" i="4"/>
  <c r="AK37" i="4"/>
  <c r="R37" i="4"/>
  <c r="AG20" i="13" s="1"/>
  <c r="AK28" i="4"/>
  <c r="R28" i="4"/>
  <c r="AK31" i="4"/>
  <c r="R31" i="4"/>
  <c r="AG7" i="12" s="1"/>
  <c r="AK40" i="4"/>
  <c r="R40" i="4"/>
  <c r="AN12" i="4"/>
  <c r="AK12" i="4"/>
  <c r="AN17" i="4"/>
  <c r="R15" i="4"/>
  <c r="AE7" i="17" s="1"/>
  <c r="AD7" i="17" s="1"/>
  <c r="AN26" i="4"/>
  <c r="R12" i="4"/>
  <c r="AG11" i="17" s="1"/>
  <c r="AN11" i="4"/>
  <c r="AK14" i="4"/>
  <c r="AN14" i="4"/>
  <c r="AU14" i="4"/>
  <c r="AT14" i="4" s="1"/>
  <c r="R14" i="4"/>
  <c r="AG14" i="17" s="1"/>
  <c r="AT34" i="4"/>
  <c r="AK23" i="4"/>
  <c r="R23" i="4"/>
  <c r="AE15" i="17" s="1"/>
  <c r="AK34" i="4"/>
  <c r="R34" i="4"/>
  <c r="AT10" i="4"/>
  <c r="AK10" i="4"/>
  <c r="AK20" i="4"/>
  <c r="AK22" i="4"/>
  <c r="AK8" i="4"/>
  <c r="AK9" i="4"/>
  <c r="R10" i="4"/>
  <c r="R20" i="4"/>
  <c r="AG16" i="17" s="1"/>
  <c r="R22" i="4"/>
  <c r="AG7" i="17" s="1"/>
  <c r="R8" i="4"/>
  <c r="E18" i="2"/>
  <c r="AO20" i="11"/>
  <c r="AM20" i="11"/>
  <c r="AK20" i="11"/>
  <c r="AI20" i="11"/>
  <c r="AO19" i="11"/>
  <c r="AM19" i="11"/>
  <c r="AK19" i="11"/>
  <c r="AI19" i="11"/>
  <c r="AO18" i="11"/>
  <c r="AM18" i="11"/>
  <c r="AK18" i="11"/>
  <c r="AI18" i="11"/>
  <c r="AO17" i="11"/>
  <c r="AM17" i="11"/>
  <c r="AK17" i="11"/>
  <c r="AI17" i="11"/>
  <c r="AO16" i="11"/>
  <c r="AM16" i="11"/>
  <c r="AK16" i="11"/>
  <c r="AI16" i="11"/>
  <c r="AO15" i="11"/>
  <c r="AM15" i="11"/>
  <c r="AK15" i="11"/>
  <c r="AI15" i="11"/>
  <c r="AO14" i="11"/>
  <c r="AM14" i="11"/>
  <c r="AK14" i="11"/>
  <c r="AI14" i="11"/>
  <c r="AO13" i="11"/>
  <c r="AM13" i="11"/>
  <c r="AK13" i="11"/>
  <c r="AI13" i="11"/>
  <c r="AO12" i="11"/>
  <c r="AM12" i="11"/>
  <c r="AK12" i="11"/>
  <c r="AI12" i="11"/>
  <c r="AO11" i="11"/>
  <c r="AM11" i="11"/>
  <c r="AK11" i="11"/>
  <c r="AI11" i="11"/>
  <c r="AO10" i="11"/>
  <c r="AM10" i="11"/>
  <c r="AK10" i="11"/>
  <c r="AI10" i="11"/>
  <c r="AO9" i="11"/>
  <c r="AM9" i="11"/>
  <c r="AK9" i="11"/>
  <c r="AI9" i="11"/>
  <c r="AO7" i="11"/>
  <c r="AM7" i="11"/>
  <c r="AK7" i="11"/>
  <c r="AI7" i="11"/>
  <c r="C313" i="11"/>
  <c r="C312" i="11"/>
  <c r="C311" i="11"/>
  <c r="C310" i="11"/>
  <c r="C309" i="11"/>
  <c r="C308" i="11"/>
  <c r="C307" i="11"/>
  <c r="C306" i="11"/>
  <c r="C305" i="11"/>
  <c r="C304" i="11"/>
  <c r="C303" i="11"/>
  <c r="C302" i="11"/>
  <c r="C301" i="11"/>
  <c r="C300" i="11"/>
  <c r="AP20" i="11"/>
  <c r="AN20" i="11"/>
  <c r="AL20" i="11"/>
  <c r="AJ20" i="11"/>
  <c r="AH20" i="11"/>
  <c r="AF20" i="11"/>
  <c r="AB20" i="11"/>
  <c r="Z20" i="11"/>
  <c r="AC20" i="11" s="1"/>
  <c r="W20" i="11"/>
  <c r="AP19" i="11"/>
  <c r="AN19" i="11"/>
  <c r="AL19" i="11"/>
  <c r="AJ19" i="11"/>
  <c r="AH19" i="11"/>
  <c r="AF19" i="11"/>
  <c r="AB19" i="11"/>
  <c r="Z19" i="11"/>
  <c r="AC19" i="11" s="1"/>
  <c r="W19" i="11"/>
  <c r="AP18" i="11"/>
  <c r="AN18" i="11"/>
  <c r="AL18" i="11"/>
  <c r="AJ18" i="11"/>
  <c r="AH18" i="11"/>
  <c r="AF18" i="11"/>
  <c r="AB18" i="11"/>
  <c r="Z18" i="11"/>
  <c r="AC18" i="11" s="1"/>
  <c r="W18" i="11"/>
  <c r="AP17" i="11"/>
  <c r="AN17" i="11"/>
  <c r="AL17" i="11"/>
  <c r="AJ17" i="11"/>
  <c r="AH17" i="11"/>
  <c r="AF17" i="11"/>
  <c r="AB17" i="11"/>
  <c r="Z17" i="11"/>
  <c r="AC17" i="11" s="1"/>
  <c r="W17" i="11"/>
  <c r="AP16" i="11"/>
  <c r="AN16" i="11"/>
  <c r="AL16" i="11"/>
  <c r="AJ16" i="11"/>
  <c r="AH16" i="11"/>
  <c r="AF16" i="11"/>
  <c r="AB16" i="11"/>
  <c r="Z16" i="11"/>
  <c r="AC16" i="11" s="1"/>
  <c r="W16" i="11"/>
  <c r="AP15" i="11"/>
  <c r="AN15" i="11"/>
  <c r="AL15" i="11"/>
  <c r="AJ15" i="11"/>
  <c r="AH15" i="11"/>
  <c r="AF15" i="11"/>
  <c r="AB15" i="11"/>
  <c r="Z15" i="11"/>
  <c r="AC15" i="11" s="1"/>
  <c r="W15" i="11"/>
  <c r="AP14" i="11"/>
  <c r="AN14" i="11"/>
  <c r="AL14" i="11"/>
  <c r="AJ14" i="11"/>
  <c r="AH14" i="11"/>
  <c r="AF14" i="11"/>
  <c r="AB14" i="11"/>
  <c r="Z14" i="11"/>
  <c r="AC14" i="11" s="1"/>
  <c r="W14" i="11"/>
  <c r="AP13" i="11"/>
  <c r="AN13" i="11"/>
  <c r="AL13" i="11"/>
  <c r="AJ13" i="11"/>
  <c r="AH13" i="11"/>
  <c r="AF13" i="11"/>
  <c r="AB13" i="11"/>
  <c r="Z13" i="11"/>
  <c r="AC13" i="11" s="1"/>
  <c r="W13" i="11"/>
  <c r="AP12" i="11"/>
  <c r="AN12" i="11"/>
  <c r="AL12" i="11"/>
  <c r="AJ12" i="11"/>
  <c r="AH12" i="11"/>
  <c r="AF12" i="11"/>
  <c r="AB12" i="11"/>
  <c r="Z12" i="11"/>
  <c r="AC12" i="11" s="1"/>
  <c r="W12" i="11"/>
  <c r="AP11" i="11"/>
  <c r="AN11" i="11"/>
  <c r="AL11" i="11"/>
  <c r="AJ11" i="11"/>
  <c r="AH11" i="11"/>
  <c r="AF11" i="11"/>
  <c r="AB11" i="11"/>
  <c r="Z11" i="11"/>
  <c r="AC11" i="11" s="1"/>
  <c r="W11" i="11"/>
  <c r="AP10" i="11"/>
  <c r="AN10" i="11"/>
  <c r="AL10" i="11"/>
  <c r="AJ10" i="11"/>
  <c r="AH10" i="11"/>
  <c r="AF10" i="11"/>
  <c r="AB10" i="11"/>
  <c r="Z10" i="11"/>
  <c r="AC10" i="11" s="1"/>
  <c r="W10" i="11"/>
  <c r="AP9" i="11"/>
  <c r="AN9" i="11"/>
  <c r="AL9" i="11"/>
  <c r="AJ9" i="11"/>
  <c r="AH9" i="11"/>
  <c r="AF9" i="11"/>
  <c r="AB9" i="11"/>
  <c r="Z9" i="11"/>
  <c r="AC9" i="11" s="1"/>
  <c r="W9" i="11"/>
  <c r="AP8" i="11"/>
  <c r="AO8" i="11" s="1"/>
  <c r="AN8" i="11"/>
  <c r="AM8" i="11" s="1"/>
  <c r="AL8" i="11"/>
  <c r="AK8" i="11" s="1"/>
  <c r="AJ8" i="11"/>
  <c r="AI8" i="11" s="1"/>
  <c r="AH8" i="11"/>
  <c r="AF8" i="11"/>
  <c r="AB8" i="11"/>
  <c r="Z8" i="11"/>
  <c r="AC8" i="11" s="1"/>
  <c r="W8" i="11"/>
  <c r="AP7" i="11"/>
  <c r="AN7" i="11"/>
  <c r="AL7" i="11"/>
  <c r="AJ7" i="11"/>
  <c r="AH7" i="11"/>
  <c r="AF7" i="11"/>
  <c r="AB7" i="11"/>
  <c r="Z7" i="11"/>
  <c r="AC7" i="11" s="1"/>
  <c r="W7" i="11"/>
  <c r="A1" i="11"/>
  <c r="B313" i="11" s="1"/>
  <c r="G120" i="4" l="1"/>
  <c r="AK9" i="17"/>
  <c r="AK10" i="14"/>
  <c r="AI9" i="17"/>
  <c r="AI10" i="14"/>
  <c r="AD14" i="17"/>
  <c r="AE8" i="13"/>
  <c r="AE12" i="17"/>
  <c r="AD12" i="17" s="1"/>
  <c r="AG14" i="14"/>
  <c r="AG15" i="17"/>
  <c r="AE9" i="16"/>
  <c r="AE13" i="17"/>
  <c r="AD13" i="17" s="1"/>
  <c r="AD11" i="17"/>
  <c r="AK13" i="16"/>
  <c r="AG9" i="17"/>
  <c r="AD15" i="17"/>
  <c r="AD16" i="17"/>
  <c r="AD17" i="17"/>
  <c r="AE11" i="16"/>
  <c r="AD18" i="17"/>
  <c r="AL120" i="4"/>
  <c r="AD8" i="17"/>
  <c r="AI13" i="16"/>
  <c r="AE9" i="17"/>
  <c r="AE10" i="16"/>
  <c r="AE8" i="16"/>
  <c r="K118" i="4"/>
  <c r="AL118" i="4" s="1"/>
  <c r="C118" i="4"/>
  <c r="AG8" i="16"/>
  <c r="AG9" i="16"/>
  <c r="AG12" i="16"/>
  <c r="AG7" i="16"/>
  <c r="AG10" i="16"/>
  <c r="AD10" i="16" s="1"/>
  <c r="AE14" i="16"/>
  <c r="AE16" i="16"/>
  <c r="AE18" i="16"/>
  <c r="AE20" i="16"/>
  <c r="AG14" i="16"/>
  <c r="AG16" i="16"/>
  <c r="AG18" i="16"/>
  <c r="AG20" i="16"/>
  <c r="AE13" i="16"/>
  <c r="AE19" i="16"/>
  <c r="AE15" i="16"/>
  <c r="AE17" i="16"/>
  <c r="AG13" i="16"/>
  <c r="AG17" i="16"/>
  <c r="AG19" i="16"/>
  <c r="AG15" i="16"/>
  <c r="I118" i="4"/>
  <c r="E118" i="4"/>
  <c r="AG11" i="15"/>
  <c r="AG11" i="16"/>
  <c r="AD11" i="16" s="1"/>
  <c r="AD13" i="16"/>
  <c r="AE12" i="15"/>
  <c r="AE12" i="16"/>
  <c r="AD12" i="16" s="1"/>
  <c r="I120" i="4"/>
  <c r="E120" i="4"/>
  <c r="AI16" i="14"/>
  <c r="AE14" i="15"/>
  <c r="AG8" i="14"/>
  <c r="AG12" i="15"/>
  <c r="AE10" i="14"/>
  <c r="AE11" i="15"/>
  <c r="AD11" i="15" s="1"/>
  <c r="AE14" i="14"/>
  <c r="AG13" i="15"/>
  <c r="AE16" i="14"/>
  <c r="AG14" i="15"/>
  <c r="AE15" i="14"/>
  <c r="AE10" i="15"/>
  <c r="AG13" i="14"/>
  <c r="AG7" i="15"/>
  <c r="AE11" i="14"/>
  <c r="AE9" i="15"/>
  <c r="AG16" i="12"/>
  <c r="AG15" i="15"/>
  <c r="AD15" i="15" s="1"/>
  <c r="AE13" i="14"/>
  <c r="AE7" i="15"/>
  <c r="AD7" i="15" s="1"/>
  <c r="AE12" i="14"/>
  <c r="AE13" i="15"/>
  <c r="AD13" i="15" s="1"/>
  <c r="AG7" i="14"/>
  <c r="AG8" i="15"/>
  <c r="AG11" i="14"/>
  <c r="AG9" i="15"/>
  <c r="AG15" i="14"/>
  <c r="AG10" i="15"/>
  <c r="AE7" i="14"/>
  <c r="AD7" i="14" s="1"/>
  <c r="AE8" i="15"/>
  <c r="AD8" i="15" s="1"/>
  <c r="AG17" i="13"/>
  <c r="AK16" i="14"/>
  <c r="AD13" i="14"/>
  <c r="AE13" i="13"/>
  <c r="AG10" i="14"/>
  <c r="AD10" i="14" s="1"/>
  <c r="AE16" i="12"/>
  <c r="AG12" i="14"/>
  <c r="AE9" i="13"/>
  <c r="AE8" i="14"/>
  <c r="AD8" i="14" s="1"/>
  <c r="AG13" i="12"/>
  <c r="AG18" i="13"/>
  <c r="AG17" i="12"/>
  <c r="AG9" i="13"/>
  <c r="AG18" i="12"/>
  <c r="AG16" i="13"/>
  <c r="AE22" i="12"/>
  <c r="AE10" i="13"/>
  <c r="AE15" i="12"/>
  <c r="AE14" i="13"/>
  <c r="AG9" i="12"/>
  <c r="AG12" i="13"/>
  <c r="AG14" i="12"/>
  <c r="AG8" i="13"/>
  <c r="AE24" i="12"/>
  <c r="AE22" i="13"/>
  <c r="AG23" i="12"/>
  <c r="AG21" i="13"/>
  <c r="AD20" i="13"/>
  <c r="AG19" i="12"/>
  <c r="AG13" i="13"/>
  <c r="AE18" i="12"/>
  <c r="AE16" i="13"/>
  <c r="AG10" i="12"/>
  <c r="AG15" i="13"/>
  <c r="AE13" i="12"/>
  <c r="AE18" i="13"/>
  <c r="AG11" i="12"/>
  <c r="AK7" i="13"/>
  <c r="AG20" i="12"/>
  <c r="AG19" i="13"/>
  <c r="AG15" i="12"/>
  <c r="AG14" i="13"/>
  <c r="AE20" i="12"/>
  <c r="AD20" i="12" s="1"/>
  <c r="AE19" i="13"/>
  <c r="AD19" i="13" s="1"/>
  <c r="AE9" i="12"/>
  <c r="AE12" i="13"/>
  <c r="AE7" i="12"/>
  <c r="AD7" i="12" s="1"/>
  <c r="AE15" i="13"/>
  <c r="AE10" i="12"/>
  <c r="AE17" i="13"/>
  <c r="AD17" i="13" s="1"/>
  <c r="AE23" i="12"/>
  <c r="AE21" i="13"/>
  <c r="AG22" i="12"/>
  <c r="AG10" i="13"/>
  <c r="AE11" i="12"/>
  <c r="AD11" i="12" s="1"/>
  <c r="AI7" i="13"/>
  <c r="AG24" i="12"/>
  <c r="AG22" i="13"/>
  <c r="AT13" i="4"/>
  <c r="AT24" i="4"/>
  <c r="AE12" i="12"/>
  <c r="AD12" i="12" s="1"/>
  <c r="A17" i="4"/>
  <c r="G17" i="4"/>
  <c r="C17" i="4"/>
  <c r="I17" i="4"/>
  <c r="AE19" i="12"/>
  <c r="C9" i="4"/>
  <c r="AE17" i="12"/>
  <c r="E11" i="4"/>
  <c r="C11" i="4"/>
  <c r="I11" i="4"/>
  <c r="AG8" i="12"/>
  <c r="A26" i="4"/>
  <c r="E26" i="4"/>
  <c r="C26" i="4"/>
  <c r="I26" i="4"/>
  <c r="AD13" i="12"/>
  <c r="AD21" i="12"/>
  <c r="AD14" i="12"/>
  <c r="A55" i="4"/>
  <c r="C55" i="4"/>
  <c r="I55" i="4"/>
  <c r="G55" i="4"/>
  <c r="A63" i="4"/>
  <c r="C63" i="4"/>
  <c r="E63" i="4"/>
  <c r="G63" i="4"/>
  <c r="I63" i="4"/>
  <c r="K63" i="4"/>
  <c r="AL63" i="4" s="1"/>
  <c r="A67" i="4"/>
  <c r="C67" i="4"/>
  <c r="E67" i="4"/>
  <c r="G67" i="4"/>
  <c r="I67" i="4"/>
  <c r="K67" i="4"/>
  <c r="AL67" i="4" s="1"/>
  <c r="A71" i="4"/>
  <c r="C71" i="4"/>
  <c r="E71" i="4"/>
  <c r="G71" i="4"/>
  <c r="I71" i="4"/>
  <c r="K71" i="4"/>
  <c r="AL71" i="4" s="1"/>
  <c r="A75" i="4"/>
  <c r="C75" i="4"/>
  <c r="E75" i="4"/>
  <c r="G75" i="4"/>
  <c r="I75" i="4"/>
  <c r="K75" i="4"/>
  <c r="AL75" i="4" s="1"/>
  <c r="A47" i="4"/>
  <c r="C47" i="4"/>
  <c r="I47" i="4"/>
  <c r="G47" i="4"/>
  <c r="A48" i="4"/>
  <c r="C48" i="4"/>
  <c r="G48" i="4"/>
  <c r="I48" i="4"/>
  <c r="A57" i="4"/>
  <c r="C57" i="4"/>
  <c r="G57" i="4"/>
  <c r="I57" i="4"/>
  <c r="C64" i="4"/>
  <c r="G64" i="4"/>
  <c r="K64" i="4"/>
  <c r="A64" i="4"/>
  <c r="E64" i="4"/>
  <c r="I64" i="4"/>
  <c r="C68" i="4"/>
  <c r="G68" i="4"/>
  <c r="K68" i="4"/>
  <c r="A68" i="4"/>
  <c r="E68" i="4"/>
  <c r="I68" i="4"/>
  <c r="C72" i="4"/>
  <c r="G72" i="4"/>
  <c r="K72" i="4"/>
  <c r="A72" i="4"/>
  <c r="E72" i="4"/>
  <c r="I72" i="4"/>
  <c r="C50" i="4"/>
  <c r="G50" i="4"/>
  <c r="A50" i="4"/>
  <c r="E50" i="4"/>
  <c r="I50" i="4"/>
  <c r="A76" i="4"/>
  <c r="C76" i="4"/>
  <c r="E76" i="4"/>
  <c r="G76" i="4"/>
  <c r="I76" i="4"/>
  <c r="K76" i="4"/>
  <c r="AL76" i="4" s="1"/>
  <c r="A46" i="4"/>
  <c r="C46" i="4"/>
  <c r="G46" i="4"/>
  <c r="I46" i="4"/>
  <c r="A79" i="4"/>
  <c r="C79" i="4"/>
  <c r="E79" i="4"/>
  <c r="G79" i="4"/>
  <c r="I79" i="4"/>
  <c r="K79" i="4"/>
  <c r="AL79" i="4" s="1"/>
  <c r="A80" i="4"/>
  <c r="C80" i="4"/>
  <c r="E80" i="4"/>
  <c r="G80" i="4"/>
  <c r="I80" i="4"/>
  <c r="K80" i="4"/>
  <c r="AL80" i="4" s="1"/>
  <c r="A81" i="4"/>
  <c r="C81" i="4"/>
  <c r="E81" i="4"/>
  <c r="G81" i="4"/>
  <c r="I81" i="4"/>
  <c r="K81" i="4"/>
  <c r="AL81" i="4" s="1"/>
  <c r="E41" i="4"/>
  <c r="G41" i="4"/>
  <c r="I41" i="4"/>
  <c r="A84" i="4"/>
  <c r="C84" i="4"/>
  <c r="E84" i="4"/>
  <c r="G84" i="4"/>
  <c r="I84" i="4"/>
  <c r="K84" i="4"/>
  <c r="AL84" i="4" s="1"/>
  <c r="G45" i="4"/>
  <c r="I45" i="4"/>
  <c r="A86" i="4"/>
  <c r="C86" i="4"/>
  <c r="E86" i="4"/>
  <c r="G86" i="4"/>
  <c r="I86" i="4"/>
  <c r="K86" i="4"/>
  <c r="AL86" i="4" s="1"/>
  <c r="A88" i="4"/>
  <c r="C88" i="4"/>
  <c r="E88" i="4"/>
  <c r="G88" i="4"/>
  <c r="I88" i="4"/>
  <c r="K88" i="4"/>
  <c r="AL88" i="4" s="1"/>
  <c r="A90" i="4"/>
  <c r="C90" i="4"/>
  <c r="E90" i="4"/>
  <c r="G90" i="4"/>
  <c r="I90" i="4"/>
  <c r="K90" i="4"/>
  <c r="AL90" i="4" s="1"/>
  <c r="A92" i="4"/>
  <c r="C92" i="4"/>
  <c r="E92" i="4"/>
  <c r="G92" i="4"/>
  <c r="I92" i="4"/>
  <c r="K92" i="4"/>
  <c r="AL92" i="4" s="1"/>
  <c r="A94" i="4"/>
  <c r="C94" i="4"/>
  <c r="E94" i="4"/>
  <c r="G94" i="4"/>
  <c r="I94" i="4"/>
  <c r="K94" i="4"/>
  <c r="AL94" i="4" s="1"/>
  <c r="A96" i="4"/>
  <c r="C96" i="4"/>
  <c r="E96" i="4"/>
  <c r="G96" i="4"/>
  <c r="I96" i="4"/>
  <c r="K96" i="4"/>
  <c r="AL96" i="4" s="1"/>
  <c r="A97" i="4"/>
  <c r="C97" i="4"/>
  <c r="E97" i="4"/>
  <c r="G97" i="4"/>
  <c r="I97" i="4"/>
  <c r="K97" i="4"/>
  <c r="AL97" i="4" s="1"/>
  <c r="A99" i="4"/>
  <c r="C99" i="4"/>
  <c r="E99" i="4"/>
  <c r="G99" i="4"/>
  <c r="I99" i="4"/>
  <c r="K99" i="4"/>
  <c r="AL99" i="4" s="1"/>
  <c r="A100" i="4"/>
  <c r="C100" i="4"/>
  <c r="E100" i="4"/>
  <c r="G100" i="4"/>
  <c r="I100" i="4"/>
  <c r="K100" i="4"/>
  <c r="AL100" i="4" s="1"/>
  <c r="A101" i="4"/>
  <c r="C101" i="4"/>
  <c r="E101" i="4"/>
  <c r="G101" i="4"/>
  <c r="I101" i="4"/>
  <c r="K101" i="4"/>
  <c r="AL101" i="4" s="1"/>
  <c r="A103" i="4"/>
  <c r="C103" i="4"/>
  <c r="E103" i="4"/>
  <c r="G103" i="4"/>
  <c r="I103" i="4"/>
  <c r="K103" i="4"/>
  <c r="AL103" i="4" s="1"/>
  <c r="A105" i="4"/>
  <c r="C105" i="4"/>
  <c r="E105" i="4"/>
  <c r="G105" i="4"/>
  <c r="I105" i="4"/>
  <c r="K105" i="4"/>
  <c r="AL105" i="4" s="1"/>
  <c r="A107" i="4"/>
  <c r="C107" i="4"/>
  <c r="E107" i="4"/>
  <c r="G107" i="4"/>
  <c r="I107" i="4"/>
  <c r="K107" i="4"/>
  <c r="AL107" i="4" s="1"/>
  <c r="A109" i="4"/>
  <c r="C109" i="4"/>
  <c r="E109" i="4"/>
  <c r="G109" i="4"/>
  <c r="I109" i="4"/>
  <c r="K109" i="4"/>
  <c r="AL109" i="4" s="1"/>
  <c r="A111" i="4"/>
  <c r="C111" i="4"/>
  <c r="E111" i="4"/>
  <c r="G111" i="4"/>
  <c r="I111" i="4"/>
  <c r="K111" i="4"/>
  <c r="AL111" i="4" s="1"/>
  <c r="G61" i="4"/>
  <c r="I61" i="4"/>
  <c r="A114" i="4"/>
  <c r="C114" i="4"/>
  <c r="E114" i="4"/>
  <c r="G114" i="4"/>
  <c r="I114" i="4"/>
  <c r="K114" i="4"/>
  <c r="AL114" i="4" s="1"/>
  <c r="A116" i="4"/>
  <c r="C116" i="4"/>
  <c r="E116" i="4"/>
  <c r="G116" i="4"/>
  <c r="I116" i="4"/>
  <c r="K116" i="4"/>
  <c r="AL116" i="4" s="1"/>
  <c r="C49" i="4"/>
  <c r="E49" i="4"/>
  <c r="I49" i="4"/>
  <c r="C16" i="4"/>
  <c r="G16" i="4"/>
  <c r="I16" i="4"/>
  <c r="A39" i="4"/>
  <c r="G39" i="4"/>
  <c r="I39" i="4"/>
  <c r="C13" i="4"/>
  <c r="I13" i="4"/>
  <c r="G13" i="4"/>
  <c r="G24" i="4"/>
  <c r="I24" i="4"/>
  <c r="C24" i="4"/>
  <c r="A43" i="4"/>
  <c r="C43" i="4"/>
  <c r="G43" i="4"/>
  <c r="I43" i="4"/>
  <c r="A62" i="4"/>
  <c r="E62" i="4"/>
  <c r="I62" i="4"/>
  <c r="C62" i="4"/>
  <c r="G62" i="4"/>
  <c r="K62" i="4"/>
  <c r="A66" i="4"/>
  <c r="E66" i="4"/>
  <c r="I66" i="4"/>
  <c r="C66" i="4"/>
  <c r="G66" i="4"/>
  <c r="K66" i="4"/>
  <c r="AL66" i="4" s="1"/>
  <c r="A70" i="4"/>
  <c r="E70" i="4"/>
  <c r="I70" i="4"/>
  <c r="C70" i="4"/>
  <c r="G70" i="4"/>
  <c r="K70" i="4"/>
  <c r="A74" i="4"/>
  <c r="E74" i="4"/>
  <c r="I74" i="4"/>
  <c r="C74" i="4"/>
  <c r="G74" i="4"/>
  <c r="K74" i="4"/>
  <c r="AL74" i="4" s="1"/>
  <c r="C78" i="4"/>
  <c r="G78" i="4"/>
  <c r="K78" i="4"/>
  <c r="AL78" i="4" s="1"/>
  <c r="A78" i="4"/>
  <c r="E78" i="4"/>
  <c r="I78" i="4"/>
  <c r="G56" i="4"/>
  <c r="I56" i="4"/>
  <c r="C83" i="4"/>
  <c r="G83" i="4"/>
  <c r="K83" i="4"/>
  <c r="AL83" i="4" s="1"/>
  <c r="A83" i="4"/>
  <c r="E83" i="4"/>
  <c r="I83" i="4"/>
  <c r="C85" i="4"/>
  <c r="G85" i="4"/>
  <c r="K85" i="4"/>
  <c r="AL85" i="4" s="1"/>
  <c r="A85" i="4"/>
  <c r="E85" i="4"/>
  <c r="I85" i="4"/>
  <c r="C89" i="4"/>
  <c r="G89" i="4"/>
  <c r="K89" i="4"/>
  <c r="AL89" i="4" s="1"/>
  <c r="A89" i="4"/>
  <c r="E89" i="4"/>
  <c r="I89" i="4"/>
  <c r="C93" i="4"/>
  <c r="G93" i="4"/>
  <c r="K93" i="4"/>
  <c r="AL93" i="4" s="1"/>
  <c r="A93" i="4"/>
  <c r="E93" i="4"/>
  <c r="I93" i="4"/>
  <c r="G32" i="4"/>
  <c r="A32" i="4"/>
  <c r="I32" i="4"/>
  <c r="G33" i="4"/>
  <c r="C102" i="4"/>
  <c r="G102" i="4"/>
  <c r="K102" i="4"/>
  <c r="AL102" i="4" s="1"/>
  <c r="A102" i="4"/>
  <c r="E102" i="4"/>
  <c r="I102" i="4"/>
  <c r="C106" i="4"/>
  <c r="G106" i="4"/>
  <c r="K106" i="4"/>
  <c r="AL106" i="4" s="1"/>
  <c r="A106" i="4"/>
  <c r="E106" i="4"/>
  <c r="I106" i="4"/>
  <c r="C110" i="4"/>
  <c r="G110" i="4"/>
  <c r="K110" i="4"/>
  <c r="AL110" i="4" s="1"/>
  <c r="A110" i="4"/>
  <c r="E110" i="4"/>
  <c r="I110" i="4"/>
  <c r="C113" i="4"/>
  <c r="G113" i="4"/>
  <c r="K113" i="4"/>
  <c r="AL113" i="4" s="1"/>
  <c r="A113" i="4"/>
  <c r="E113" i="4"/>
  <c r="I113" i="4"/>
  <c r="C59" i="4"/>
  <c r="G59" i="4"/>
  <c r="I59" i="4"/>
  <c r="I34" i="4"/>
  <c r="C34" i="4"/>
  <c r="E34" i="4"/>
  <c r="G14" i="4"/>
  <c r="I14" i="4"/>
  <c r="C12" i="4"/>
  <c r="I12" i="4"/>
  <c r="G12" i="4"/>
  <c r="G40" i="4"/>
  <c r="I40" i="4"/>
  <c r="I28" i="4"/>
  <c r="C28" i="4"/>
  <c r="I30" i="4"/>
  <c r="E30" i="4"/>
  <c r="C30" i="4"/>
  <c r="C18" i="4"/>
  <c r="G18" i="4"/>
  <c r="I18" i="4"/>
  <c r="G36" i="4"/>
  <c r="I36" i="4"/>
  <c r="C36" i="4"/>
  <c r="C35" i="4"/>
  <c r="G35" i="4"/>
  <c r="I35" i="4"/>
  <c r="I53" i="4"/>
  <c r="G53" i="4"/>
  <c r="C8" i="4"/>
  <c r="I8" i="4"/>
  <c r="G8" i="4"/>
  <c r="I22" i="4"/>
  <c r="G22" i="4"/>
  <c r="I20" i="4"/>
  <c r="G20" i="4"/>
  <c r="I10" i="4"/>
  <c r="G10" i="4"/>
  <c r="G23" i="4"/>
  <c r="I23" i="4"/>
  <c r="A15" i="4"/>
  <c r="C15" i="4"/>
  <c r="G15" i="4"/>
  <c r="I15" i="4"/>
  <c r="G31" i="4"/>
  <c r="I31" i="4"/>
  <c r="C31" i="4"/>
  <c r="E37" i="4"/>
  <c r="I37" i="4"/>
  <c r="I29" i="4"/>
  <c r="G29" i="4"/>
  <c r="A25" i="4"/>
  <c r="G25" i="4"/>
  <c r="I25" i="4"/>
  <c r="C21" i="4"/>
  <c r="G21" i="4"/>
  <c r="I21" i="4"/>
  <c r="C27" i="4"/>
  <c r="I27" i="4"/>
  <c r="A51" i="4"/>
  <c r="C51" i="4"/>
  <c r="G51" i="4"/>
  <c r="I51" i="4"/>
  <c r="A42" i="4"/>
  <c r="C42" i="4"/>
  <c r="I42" i="4"/>
  <c r="G42" i="4"/>
  <c r="I44" i="4"/>
  <c r="A65" i="4"/>
  <c r="C65" i="4"/>
  <c r="E65" i="4"/>
  <c r="G65" i="4"/>
  <c r="I65" i="4"/>
  <c r="K65" i="4"/>
  <c r="AL65" i="4" s="1"/>
  <c r="A69" i="4"/>
  <c r="C69" i="4"/>
  <c r="E69" i="4"/>
  <c r="G69" i="4"/>
  <c r="I69" i="4"/>
  <c r="K69" i="4"/>
  <c r="AL69" i="4" s="1"/>
  <c r="A73" i="4"/>
  <c r="C73" i="4"/>
  <c r="E73" i="4"/>
  <c r="G73" i="4"/>
  <c r="I73" i="4"/>
  <c r="K73" i="4"/>
  <c r="AL73" i="4" s="1"/>
  <c r="AL64" i="4"/>
  <c r="AL68" i="4"/>
  <c r="AL72" i="4"/>
  <c r="AT16" i="4"/>
  <c r="G19" i="4"/>
  <c r="I19" i="4"/>
  <c r="AT19" i="4"/>
  <c r="G38" i="4"/>
  <c r="I38" i="4"/>
  <c r="C38" i="4"/>
  <c r="A38" i="4"/>
  <c r="A52" i="4"/>
  <c r="C52" i="4"/>
  <c r="I52" i="4"/>
  <c r="G52" i="4"/>
  <c r="AL62" i="4"/>
  <c r="AL70" i="4"/>
  <c r="A77" i="4"/>
  <c r="E77" i="4"/>
  <c r="I77" i="4"/>
  <c r="C77" i="4"/>
  <c r="G77" i="4"/>
  <c r="K77" i="4"/>
  <c r="AL77" i="4" s="1"/>
  <c r="I58" i="4"/>
  <c r="C58" i="4"/>
  <c r="A82" i="4"/>
  <c r="E82" i="4"/>
  <c r="I82" i="4"/>
  <c r="C82" i="4"/>
  <c r="G82" i="4"/>
  <c r="K82" i="4"/>
  <c r="AL82" i="4" s="1"/>
  <c r="A54" i="4"/>
  <c r="E54" i="4"/>
  <c r="I54" i="4"/>
  <c r="G54" i="4"/>
  <c r="A87" i="4"/>
  <c r="E87" i="4"/>
  <c r="I87" i="4"/>
  <c r="C87" i="4"/>
  <c r="G87" i="4"/>
  <c r="K87" i="4"/>
  <c r="AL87" i="4" s="1"/>
  <c r="A91" i="4"/>
  <c r="E91" i="4"/>
  <c r="I91" i="4"/>
  <c r="C91" i="4"/>
  <c r="G91" i="4"/>
  <c r="K91" i="4"/>
  <c r="AL91" i="4" s="1"/>
  <c r="A95" i="4"/>
  <c r="E95" i="4"/>
  <c r="I95" i="4"/>
  <c r="C95" i="4"/>
  <c r="G95" i="4"/>
  <c r="K95" i="4"/>
  <c r="AL95" i="4" s="1"/>
  <c r="A98" i="4"/>
  <c r="E98" i="4"/>
  <c r="I98" i="4"/>
  <c r="C98" i="4"/>
  <c r="G98" i="4"/>
  <c r="K98" i="4"/>
  <c r="AL98" i="4" s="1"/>
  <c r="A60" i="4"/>
  <c r="I60" i="4"/>
  <c r="C60" i="4"/>
  <c r="G60" i="4"/>
  <c r="A104" i="4"/>
  <c r="E104" i="4"/>
  <c r="I104" i="4"/>
  <c r="C104" i="4"/>
  <c r="G104" i="4"/>
  <c r="K104" i="4"/>
  <c r="AL104" i="4" s="1"/>
  <c r="A108" i="4"/>
  <c r="E108" i="4"/>
  <c r="I108" i="4"/>
  <c r="C108" i="4"/>
  <c r="G108" i="4"/>
  <c r="K108" i="4"/>
  <c r="AL108" i="4" s="1"/>
  <c r="A112" i="4"/>
  <c r="E112" i="4"/>
  <c r="I112" i="4"/>
  <c r="C112" i="4"/>
  <c r="G112" i="4"/>
  <c r="K112" i="4"/>
  <c r="AL112" i="4" s="1"/>
  <c r="A115" i="4"/>
  <c r="E115" i="4"/>
  <c r="I115" i="4"/>
  <c r="C115" i="4"/>
  <c r="G115" i="4"/>
  <c r="K115" i="4"/>
  <c r="AL115" i="4" s="1"/>
  <c r="A117" i="4"/>
  <c r="E117" i="4"/>
  <c r="I117" i="4"/>
  <c r="C117" i="4"/>
  <c r="G117" i="4"/>
  <c r="K117" i="4"/>
  <c r="AL117" i="4" s="1"/>
  <c r="C119" i="4"/>
  <c r="G119" i="4"/>
  <c r="K119" i="4"/>
  <c r="A119" i="4"/>
  <c r="E119" i="4"/>
  <c r="I119" i="4"/>
  <c r="AL119" i="4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AD13" i="13" l="1"/>
  <c r="AD23" i="12"/>
  <c r="AD9" i="12"/>
  <c r="AD15" i="12"/>
  <c r="AD8" i="16"/>
  <c r="AD8" i="13"/>
  <c r="AD21" i="13"/>
  <c r="AD12" i="13"/>
  <c r="AD18" i="13"/>
  <c r="AD16" i="12"/>
  <c r="AD17" i="12"/>
  <c r="AD14" i="14"/>
  <c r="AD9" i="16"/>
  <c r="AD9" i="17"/>
  <c r="AD12" i="15"/>
  <c r="AD17" i="16"/>
  <c r="AD19" i="16"/>
  <c r="AD20" i="16"/>
  <c r="AD16" i="16"/>
  <c r="AD15" i="16"/>
  <c r="AD18" i="16"/>
  <c r="AD14" i="16"/>
  <c r="AD22" i="13"/>
  <c r="AD16" i="13"/>
  <c r="AD9" i="13"/>
  <c r="AD24" i="12"/>
  <c r="AD15" i="13"/>
  <c r="AD10" i="12"/>
  <c r="AD18" i="12"/>
  <c r="AD19" i="12"/>
  <c r="AD12" i="14"/>
  <c r="AD16" i="14"/>
  <c r="AD9" i="15"/>
  <c r="AD10" i="15"/>
  <c r="AD14" i="15"/>
  <c r="AD11" i="14"/>
  <c r="AD15" i="14"/>
  <c r="AD14" i="13"/>
  <c r="AD10" i="13"/>
  <c r="AD22" i="12"/>
  <c r="AC7" i="4"/>
  <c r="M22" i="1"/>
  <c r="W20" i="10"/>
  <c r="Z20" i="10"/>
  <c r="AB20" i="10"/>
  <c r="AC20" i="10" s="1"/>
  <c r="AF20" i="10"/>
  <c r="AH20" i="10"/>
  <c r="AJ20" i="10"/>
  <c r="AI20" i="10" s="1"/>
  <c r="AL20" i="10"/>
  <c r="AK20" i="10" s="1"/>
  <c r="AN20" i="10"/>
  <c r="AM20" i="10" s="1"/>
  <c r="AP20" i="10"/>
  <c r="AO20" i="10" s="1"/>
  <c r="A1" i="10"/>
  <c r="B312" i="10" s="1"/>
  <c r="AP19" i="10"/>
  <c r="AO19" i="10" s="1"/>
  <c r="AN19" i="10"/>
  <c r="AM19" i="10" s="1"/>
  <c r="AL19" i="10"/>
  <c r="AK19" i="10" s="1"/>
  <c r="AJ19" i="10"/>
  <c r="AI19" i="10" s="1"/>
  <c r="AH19" i="10"/>
  <c r="AF19" i="10"/>
  <c r="AB19" i="10"/>
  <c r="Z19" i="10"/>
  <c r="W19" i="10"/>
  <c r="AP18" i="10"/>
  <c r="AO18" i="10" s="1"/>
  <c r="AN18" i="10"/>
  <c r="AM18" i="10" s="1"/>
  <c r="AL18" i="10"/>
  <c r="AK18" i="10" s="1"/>
  <c r="AJ18" i="10"/>
  <c r="AI18" i="10" s="1"/>
  <c r="AH18" i="10"/>
  <c r="AF18" i="10"/>
  <c r="AB18" i="10"/>
  <c r="Z18" i="10"/>
  <c r="W18" i="10"/>
  <c r="AP17" i="10"/>
  <c r="AO17" i="10" s="1"/>
  <c r="AN17" i="10"/>
  <c r="AM17" i="10" s="1"/>
  <c r="AL17" i="10"/>
  <c r="AK17" i="10" s="1"/>
  <c r="AJ17" i="10"/>
  <c r="AI17" i="10" s="1"/>
  <c r="AH17" i="10"/>
  <c r="AF17" i="10"/>
  <c r="AB17" i="10"/>
  <c r="Z17" i="10"/>
  <c r="W17" i="10"/>
  <c r="AP16" i="10"/>
  <c r="AO16" i="10" s="1"/>
  <c r="AN16" i="10"/>
  <c r="AM16" i="10" s="1"/>
  <c r="AL16" i="10"/>
  <c r="AK16" i="10" s="1"/>
  <c r="AJ16" i="10"/>
  <c r="AI16" i="10" s="1"/>
  <c r="AH16" i="10"/>
  <c r="AF16" i="10"/>
  <c r="AB16" i="10"/>
  <c r="Z16" i="10"/>
  <c r="W16" i="10"/>
  <c r="AP15" i="10"/>
  <c r="AO15" i="10" s="1"/>
  <c r="AN15" i="10"/>
  <c r="AM15" i="10" s="1"/>
  <c r="AL15" i="10"/>
  <c r="AK15" i="10" s="1"/>
  <c r="AJ15" i="10"/>
  <c r="AI15" i="10" s="1"/>
  <c r="AH15" i="10"/>
  <c r="AF15" i="10"/>
  <c r="AB15" i="10"/>
  <c r="Z15" i="10"/>
  <c r="W15" i="10"/>
  <c r="AP14" i="10"/>
  <c r="AO14" i="10" s="1"/>
  <c r="AN14" i="10"/>
  <c r="AM14" i="10" s="1"/>
  <c r="AL14" i="10"/>
  <c r="AK14" i="10" s="1"/>
  <c r="AJ14" i="10"/>
  <c r="AI14" i="10" s="1"/>
  <c r="AH14" i="10"/>
  <c r="AF14" i="10"/>
  <c r="AB14" i="10"/>
  <c r="Z14" i="10"/>
  <c r="W14" i="10"/>
  <c r="AP13" i="10"/>
  <c r="AO13" i="10" s="1"/>
  <c r="AN13" i="10"/>
  <c r="AM13" i="10" s="1"/>
  <c r="AL13" i="10"/>
  <c r="AK13" i="10" s="1"/>
  <c r="AJ13" i="10"/>
  <c r="AI13" i="10" s="1"/>
  <c r="AH13" i="10"/>
  <c r="AF13" i="10"/>
  <c r="AB13" i="10"/>
  <c r="Z13" i="10"/>
  <c r="W13" i="10"/>
  <c r="AP12" i="10"/>
  <c r="AO12" i="10" s="1"/>
  <c r="AN12" i="10"/>
  <c r="AM12" i="10" s="1"/>
  <c r="AL12" i="10"/>
  <c r="AK12" i="10" s="1"/>
  <c r="AJ12" i="10"/>
  <c r="AI12" i="10" s="1"/>
  <c r="AH12" i="10"/>
  <c r="AF12" i="10"/>
  <c r="AB12" i="10"/>
  <c r="Z12" i="10"/>
  <c r="W12" i="10"/>
  <c r="AP11" i="10"/>
  <c r="AO11" i="10" s="1"/>
  <c r="AN11" i="10"/>
  <c r="AM11" i="10" s="1"/>
  <c r="AL11" i="10"/>
  <c r="AK11" i="10" s="1"/>
  <c r="AJ11" i="10"/>
  <c r="AI11" i="10" s="1"/>
  <c r="AH11" i="10"/>
  <c r="AF11" i="10"/>
  <c r="AB11" i="10"/>
  <c r="Z11" i="10"/>
  <c r="W11" i="10"/>
  <c r="AP10" i="10"/>
  <c r="AO10" i="10" s="1"/>
  <c r="AN10" i="10"/>
  <c r="AM10" i="10" s="1"/>
  <c r="AL10" i="10"/>
  <c r="AK10" i="10" s="1"/>
  <c r="AJ10" i="10"/>
  <c r="AI10" i="10" s="1"/>
  <c r="AH10" i="10"/>
  <c r="AF10" i="10"/>
  <c r="AB10" i="10"/>
  <c r="Z10" i="10"/>
  <c r="W10" i="10"/>
  <c r="AP9" i="10"/>
  <c r="AO9" i="10" s="1"/>
  <c r="AN9" i="10"/>
  <c r="AM9" i="10" s="1"/>
  <c r="AL9" i="10"/>
  <c r="AK9" i="10" s="1"/>
  <c r="AJ9" i="10"/>
  <c r="AI9" i="10" s="1"/>
  <c r="AH9" i="10"/>
  <c r="AF9" i="10"/>
  <c r="AB9" i="10"/>
  <c r="Z9" i="10"/>
  <c r="W9" i="10"/>
  <c r="AP8" i="10"/>
  <c r="AO8" i="10" s="1"/>
  <c r="AN8" i="10"/>
  <c r="AM8" i="10" s="1"/>
  <c r="AL8" i="10"/>
  <c r="AK8" i="10" s="1"/>
  <c r="AJ8" i="10"/>
  <c r="AI8" i="10" s="1"/>
  <c r="AH8" i="10"/>
  <c r="AF8" i="10"/>
  <c r="AB8" i="10"/>
  <c r="Z8" i="10"/>
  <c r="W8" i="10"/>
  <c r="AP7" i="10"/>
  <c r="AO7" i="10" s="1"/>
  <c r="AN7" i="10"/>
  <c r="AM7" i="10" s="1"/>
  <c r="AL7" i="10"/>
  <c r="AK7" i="10" s="1"/>
  <c r="AJ7" i="10"/>
  <c r="AI7" i="10" s="1"/>
  <c r="AH7" i="10"/>
  <c r="AF7" i="10"/>
  <c r="AB7" i="10"/>
  <c r="Z7" i="10"/>
  <c r="W7" i="10"/>
  <c r="E12" i="2"/>
  <c r="BL119" i="4" l="1"/>
  <c r="BL120" i="4"/>
  <c r="BL118" i="4"/>
  <c r="BL36" i="4"/>
  <c r="BL35" i="4"/>
  <c r="BL51" i="4"/>
  <c r="BL53" i="4"/>
  <c r="BL42" i="4"/>
  <c r="BL55" i="4"/>
  <c r="BL44" i="4"/>
  <c r="BL63" i="4"/>
  <c r="BL65" i="4"/>
  <c r="BL67" i="4"/>
  <c r="BL69" i="4"/>
  <c r="BL71" i="4"/>
  <c r="BL73" i="4"/>
  <c r="BL75" i="4"/>
  <c r="BL50" i="4"/>
  <c r="BL77" i="4"/>
  <c r="BL78" i="4"/>
  <c r="BL58" i="4"/>
  <c r="BL56" i="4"/>
  <c r="BL82" i="4"/>
  <c r="BL83" i="4"/>
  <c r="BL54" i="4"/>
  <c r="BL85" i="4"/>
  <c r="BL87" i="4"/>
  <c r="BL89" i="4"/>
  <c r="BL91" i="4"/>
  <c r="BL93" i="4"/>
  <c r="BL95" i="4"/>
  <c r="BL32" i="4"/>
  <c r="BL98" i="4"/>
  <c r="BL33" i="4"/>
  <c r="BL60" i="4"/>
  <c r="BL102" i="4"/>
  <c r="BL104" i="4"/>
  <c r="BL106" i="4"/>
  <c r="BL108" i="4"/>
  <c r="BL110" i="4"/>
  <c r="BL112" i="4"/>
  <c r="BL113" i="4"/>
  <c r="BL115" i="4"/>
  <c r="BL59" i="4"/>
  <c r="BL117" i="4"/>
  <c r="BL15" i="4"/>
  <c r="BL38" i="4"/>
  <c r="BL47" i="4"/>
  <c r="BL52" i="4"/>
  <c r="BL48" i="4"/>
  <c r="BL43" i="4"/>
  <c r="BL57" i="4"/>
  <c r="BL62" i="4"/>
  <c r="BL64" i="4"/>
  <c r="BL66" i="4"/>
  <c r="BL68" i="4"/>
  <c r="BL70" i="4"/>
  <c r="BL72" i="4"/>
  <c r="BL74" i="4"/>
  <c r="BL12" i="4"/>
  <c r="BL76" i="4"/>
  <c r="BL46" i="4"/>
  <c r="BL79" i="4"/>
  <c r="BL80" i="4"/>
  <c r="BL81" i="4"/>
  <c r="BL41" i="4"/>
  <c r="BL84" i="4"/>
  <c r="BL45" i="4"/>
  <c r="BL86" i="4"/>
  <c r="BL88" i="4"/>
  <c r="BL90" i="4"/>
  <c r="BL92" i="4"/>
  <c r="BL94" i="4"/>
  <c r="BL96" i="4"/>
  <c r="BL97" i="4"/>
  <c r="BL99" i="4"/>
  <c r="BL100" i="4"/>
  <c r="BL101" i="4"/>
  <c r="BL103" i="4"/>
  <c r="BL105" i="4"/>
  <c r="BL107" i="4"/>
  <c r="BL109" i="4"/>
  <c r="BL111" i="4"/>
  <c r="BL61" i="4"/>
  <c r="BL114" i="4"/>
  <c r="BL116" i="4"/>
  <c r="BL49" i="4"/>
  <c r="BL26" i="4"/>
  <c r="BL39" i="4"/>
  <c r="BL25" i="4"/>
  <c r="BL13" i="4"/>
  <c r="BL21" i="4"/>
  <c r="BL19" i="4"/>
  <c r="BL27" i="4"/>
  <c r="BL24" i="4"/>
  <c r="BL22" i="4"/>
  <c r="BL9" i="4"/>
  <c r="BL17" i="4"/>
  <c r="BL31" i="4"/>
  <c r="BL37" i="4"/>
  <c r="BL29" i="4"/>
  <c r="BL10" i="4"/>
  <c r="BL23" i="4"/>
  <c r="BL20" i="4"/>
  <c r="BL8" i="4"/>
  <c r="BL11" i="4"/>
  <c r="BL40" i="4"/>
  <c r="BL28" i="4"/>
  <c r="BL30" i="4"/>
  <c r="BL18" i="4"/>
  <c r="BL16" i="4"/>
  <c r="BL14" i="4"/>
  <c r="BL34" i="4"/>
  <c r="B313" i="10"/>
  <c r="AC7" i="10"/>
  <c r="AC9" i="10"/>
  <c r="AC11" i="10"/>
  <c r="AC13" i="10"/>
  <c r="AC15" i="10"/>
  <c r="AC17" i="10"/>
  <c r="AC19" i="10"/>
  <c r="AC8" i="10"/>
  <c r="AC10" i="10"/>
  <c r="AC12" i="10"/>
  <c r="AC14" i="10"/>
  <c r="AC16" i="10"/>
  <c r="AC18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K22" i="1"/>
  <c r="AF9" i="9" l="1"/>
  <c r="AF13" i="9"/>
  <c r="AF20" i="9"/>
  <c r="AD20" i="9" s="1"/>
  <c r="AE16" i="9"/>
  <c r="AE17" i="9"/>
  <c r="AE18" i="9"/>
  <c r="AE19" i="9"/>
  <c r="AE20" i="9"/>
  <c r="AE21" i="9"/>
  <c r="AE22" i="9"/>
  <c r="AE23" i="9"/>
  <c r="AE24" i="9"/>
  <c r="AE25" i="9"/>
  <c r="AE26" i="9"/>
  <c r="AE15" i="9"/>
  <c r="AE14" i="9"/>
  <c r="AE13" i="9"/>
  <c r="AE12" i="9"/>
  <c r="AE11" i="9"/>
  <c r="AE10" i="9"/>
  <c r="AE9" i="9"/>
  <c r="AE8" i="9"/>
  <c r="AE7" i="9"/>
  <c r="AF16" i="9" l="1"/>
  <c r="AD16" i="9" s="1"/>
  <c r="AD9" i="9"/>
  <c r="AD13" i="9" l="1"/>
  <c r="W20" i="9" l="1"/>
  <c r="Z20" i="9"/>
  <c r="AB20" i="9"/>
  <c r="W21" i="9"/>
  <c r="Z21" i="9"/>
  <c r="AB21" i="9"/>
  <c r="AC21" i="9" s="1"/>
  <c r="W22" i="9"/>
  <c r="Z22" i="9"/>
  <c r="AB22" i="9"/>
  <c r="W23" i="9"/>
  <c r="Z23" i="9"/>
  <c r="AB23" i="9"/>
  <c r="W24" i="9"/>
  <c r="Z24" i="9"/>
  <c r="AB24" i="9"/>
  <c r="W25" i="9"/>
  <c r="Z25" i="9"/>
  <c r="AB25" i="9"/>
  <c r="W26" i="9"/>
  <c r="Z26" i="9"/>
  <c r="AB26" i="9"/>
  <c r="A1" i="9"/>
  <c r="F303" i="9" s="1"/>
  <c r="AC20" i="9" l="1"/>
  <c r="F308" i="9"/>
  <c r="F306" i="9"/>
  <c r="F304" i="9"/>
  <c r="F309" i="9"/>
  <c r="F307" i="9"/>
  <c r="F305" i="9"/>
  <c r="AC25" i="9"/>
  <c r="AC23" i="9"/>
  <c r="AC26" i="9"/>
  <c r="AC22" i="9"/>
  <c r="AC24" i="9"/>
  <c r="AB19" i="9"/>
  <c r="Z19" i="9"/>
  <c r="W19" i="9"/>
  <c r="AB18" i="9"/>
  <c r="Z18" i="9"/>
  <c r="W18" i="9"/>
  <c r="AB17" i="9"/>
  <c r="Z17" i="9"/>
  <c r="W17" i="9"/>
  <c r="AB16" i="9"/>
  <c r="Z16" i="9"/>
  <c r="W16" i="9"/>
  <c r="AB15" i="9"/>
  <c r="Z15" i="9"/>
  <c r="W15" i="9"/>
  <c r="AB14" i="9"/>
  <c r="Z14" i="9"/>
  <c r="W14" i="9"/>
  <c r="AB13" i="9"/>
  <c r="Z13" i="9"/>
  <c r="W13" i="9"/>
  <c r="AB12" i="9"/>
  <c r="Z12" i="9"/>
  <c r="W12" i="9"/>
  <c r="AB11" i="9"/>
  <c r="Z11" i="9"/>
  <c r="W11" i="9"/>
  <c r="AB10" i="9"/>
  <c r="Z10" i="9"/>
  <c r="W10" i="9"/>
  <c r="AB9" i="9"/>
  <c r="Z9" i="9"/>
  <c r="W9" i="9"/>
  <c r="AB8" i="9"/>
  <c r="Z8" i="9"/>
  <c r="W8" i="9"/>
  <c r="AB7" i="9"/>
  <c r="Z7" i="9"/>
  <c r="W7" i="9"/>
  <c r="F302" i="9"/>
  <c r="AC7" i="9" l="1"/>
  <c r="AC9" i="9"/>
  <c r="AC11" i="9"/>
  <c r="AC13" i="9"/>
  <c r="AC15" i="9"/>
  <c r="AC17" i="9"/>
  <c r="AC19" i="9"/>
  <c r="AC8" i="9"/>
  <c r="AC10" i="9"/>
  <c r="AC12" i="9"/>
  <c r="AC14" i="9"/>
  <c r="AC16" i="9"/>
  <c r="AC18" i="9"/>
  <c r="B300" i="9"/>
  <c r="B301" i="9"/>
  <c r="B302" i="9"/>
  <c r="B303" i="9"/>
  <c r="B304" i="9"/>
  <c r="B305" i="9"/>
  <c r="B306" i="9"/>
  <c r="B307" i="9"/>
  <c r="B308" i="9"/>
  <c r="B309" i="9"/>
  <c r="F300" i="9"/>
  <c r="F301" i="9"/>
  <c r="C313" i="8" l="1"/>
  <c r="C314" i="8"/>
  <c r="W20" i="8"/>
  <c r="Z20" i="8"/>
  <c r="AB20" i="8"/>
  <c r="AC20" i="8" s="1"/>
  <c r="AF20" i="8"/>
  <c r="AH20" i="8"/>
  <c r="AJ20" i="8"/>
  <c r="AI20" i="8" s="1"/>
  <c r="AL20" i="8"/>
  <c r="AK20" i="8" s="1"/>
  <c r="AN20" i="8"/>
  <c r="AM20" i="8" s="1"/>
  <c r="AP20" i="8"/>
  <c r="AO20" i="8" s="1"/>
  <c r="W21" i="8"/>
  <c r="Z21" i="8"/>
  <c r="AB21" i="8"/>
  <c r="AC21" i="8" s="1"/>
  <c r="AF21" i="8"/>
  <c r="AH21" i="8"/>
  <c r="AI21" i="8"/>
  <c r="AJ21" i="8"/>
  <c r="AK21" i="8"/>
  <c r="AL21" i="8"/>
  <c r="AM21" i="8"/>
  <c r="AN21" i="8"/>
  <c r="AO21" i="8"/>
  <c r="AP21" i="8"/>
  <c r="A1" i="7"/>
  <c r="A1" i="8"/>
  <c r="B312" i="8" s="1"/>
  <c r="C312" i="8"/>
  <c r="C311" i="8"/>
  <c r="C310" i="8"/>
  <c r="C309" i="8"/>
  <c r="C308" i="8"/>
  <c r="C307" i="8"/>
  <c r="C306" i="8"/>
  <c r="C305" i="8"/>
  <c r="C304" i="8"/>
  <c r="C303" i="8"/>
  <c r="C302" i="8"/>
  <c r="C301" i="8"/>
  <c r="C300" i="8"/>
  <c r="AP19" i="8"/>
  <c r="AO19" i="8" s="1"/>
  <c r="AN19" i="8"/>
  <c r="AM19" i="8" s="1"/>
  <c r="AL19" i="8"/>
  <c r="AK19" i="8" s="1"/>
  <c r="AJ19" i="8"/>
  <c r="AI19" i="8" s="1"/>
  <c r="AH19" i="8"/>
  <c r="AF19" i="8"/>
  <c r="AB19" i="8"/>
  <c r="Z19" i="8"/>
  <c r="AC19" i="8" s="1"/>
  <c r="W19" i="8"/>
  <c r="AP18" i="8"/>
  <c r="AO18" i="8" s="1"/>
  <c r="AN18" i="8"/>
  <c r="AM18" i="8" s="1"/>
  <c r="AL18" i="8"/>
  <c r="AK18" i="8" s="1"/>
  <c r="AJ18" i="8"/>
  <c r="AI18" i="8" s="1"/>
  <c r="AH18" i="8"/>
  <c r="AF18" i="8"/>
  <c r="AB18" i="8"/>
  <c r="Z18" i="8"/>
  <c r="W18" i="8"/>
  <c r="AP17" i="8"/>
  <c r="AO17" i="8" s="1"/>
  <c r="AN17" i="8"/>
  <c r="AM17" i="8" s="1"/>
  <c r="AL17" i="8"/>
  <c r="AK17" i="8" s="1"/>
  <c r="AJ17" i="8"/>
  <c r="AI17" i="8" s="1"/>
  <c r="AH17" i="8"/>
  <c r="AF17" i="8"/>
  <c r="AB17" i="8"/>
  <c r="Z17" i="8"/>
  <c r="AC17" i="8" s="1"/>
  <c r="W17" i="8"/>
  <c r="AP16" i="8"/>
  <c r="AO16" i="8" s="1"/>
  <c r="AN16" i="8"/>
  <c r="AM16" i="8" s="1"/>
  <c r="AL16" i="8"/>
  <c r="AK16" i="8" s="1"/>
  <c r="AJ16" i="8"/>
  <c r="AI16" i="8" s="1"/>
  <c r="AH16" i="8"/>
  <c r="AF16" i="8"/>
  <c r="AB16" i="8"/>
  <c r="Z16" i="8"/>
  <c r="W16" i="8"/>
  <c r="AP15" i="8"/>
  <c r="AO15" i="8" s="1"/>
  <c r="AN15" i="8"/>
  <c r="AM15" i="8" s="1"/>
  <c r="AL15" i="8"/>
  <c r="AK15" i="8" s="1"/>
  <c r="AJ15" i="8"/>
  <c r="AI15" i="8" s="1"/>
  <c r="AH15" i="8"/>
  <c r="AF15" i="8"/>
  <c r="AB15" i="8"/>
  <c r="Z15" i="8"/>
  <c r="AC15" i="8" s="1"/>
  <c r="W15" i="8"/>
  <c r="AP14" i="8"/>
  <c r="AO14" i="8" s="1"/>
  <c r="AN14" i="8"/>
  <c r="AM14" i="8" s="1"/>
  <c r="AL14" i="8"/>
  <c r="AK14" i="8" s="1"/>
  <c r="AJ14" i="8"/>
  <c r="AI14" i="8" s="1"/>
  <c r="AH14" i="8"/>
  <c r="AF14" i="8"/>
  <c r="AB14" i="8"/>
  <c r="Z14" i="8"/>
  <c r="W14" i="8"/>
  <c r="AP13" i="8"/>
  <c r="AO13" i="8" s="1"/>
  <c r="AN13" i="8"/>
  <c r="AM13" i="8" s="1"/>
  <c r="AL13" i="8"/>
  <c r="AK13" i="8" s="1"/>
  <c r="AJ13" i="8"/>
  <c r="AI13" i="8" s="1"/>
  <c r="AH13" i="8"/>
  <c r="AF13" i="8"/>
  <c r="AB13" i="8"/>
  <c r="Z13" i="8"/>
  <c r="AC13" i="8" s="1"/>
  <c r="W13" i="8"/>
  <c r="AP12" i="8"/>
  <c r="AO12" i="8" s="1"/>
  <c r="AN12" i="8"/>
  <c r="AM12" i="8" s="1"/>
  <c r="AL12" i="8"/>
  <c r="AK12" i="8" s="1"/>
  <c r="AJ12" i="8"/>
  <c r="AI12" i="8" s="1"/>
  <c r="AH12" i="8"/>
  <c r="AF12" i="8"/>
  <c r="AB12" i="8"/>
  <c r="Z12" i="8"/>
  <c r="W12" i="8"/>
  <c r="AP11" i="8"/>
  <c r="AO11" i="8" s="1"/>
  <c r="AN11" i="8"/>
  <c r="AM11" i="8" s="1"/>
  <c r="AL11" i="8"/>
  <c r="AK11" i="8" s="1"/>
  <c r="AJ11" i="8"/>
  <c r="AI11" i="8" s="1"/>
  <c r="AH11" i="8"/>
  <c r="AF11" i="8"/>
  <c r="AB11" i="8"/>
  <c r="Z11" i="8"/>
  <c r="AC11" i="8" s="1"/>
  <c r="W11" i="8"/>
  <c r="AP10" i="8"/>
  <c r="AO10" i="8" s="1"/>
  <c r="AN10" i="8"/>
  <c r="AM10" i="8" s="1"/>
  <c r="AL10" i="8"/>
  <c r="AK10" i="8" s="1"/>
  <c r="AJ10" i="8"/>
  <c r="AI10" i="8" s="1"/>
  <c r="AH10" i="8"/>
  <c r="AF10" i="8"/>
  <c r="AB10" i="8"/>
  <c r="Z10" i="8"/>
  <c r="W10" i="8"/>
  <c r="AP9" i="8"/>
  <c r="AO9" i="8" s="1"/>
  <c r="AN9" i="8"/>
  <c r="AM9" i="8" s="1"/>
  <c r="AL9" i="8"/>
  <c r="AK9" i="8" s="1"/>
  <c r="AJ9" i="8"/>
  <c r="AI9" i="8" s="1"/>
  <c r="AH9" i="8"/>
  <c r="AF9" i="8"/>
  <c r="AB9" i="8"/>
  <c r="Z9" i="8"/>
  <c r="AC9" i="8" s="1"/>
  <c r="W9" i="8"/>
  <c r="AP8" i="8"/>
  <c r="AO8" i="8" s="1"/>
  <c r="AN8" i="8"/>
  <c r="AM8" i="8" s="1"/>
  <c r="AL8" i="8"/>
  <c r="AK8" i="8" s="1"/>
  <c r="AJ8" i="8"/>
  <c r="AI8" i="8" s="1"/>
  <c r="AH8" i="8"/>
  <c r="AF8" i="8"/>
  <c r="AB8" i="8"/>
  <c r="Z8" i="8"/>
  <c r="W8" i="8"/>
  <c r="AP7" i="8"/>
  <c r="AO7" i="8" s="1"/>
  <c r="AN7" i="8"/>
  <c r="AM7" i="8" s="1"/>
  <c r="AL7" i="8"/>
  <c r="AJ7" i="8"/>
  <c r="AH7" i="8"/>
  <c r="AF7" i="8"/>
  <c r="AB7" i="8"/>
  <c r="Z7" i="8"/>
  <c r="W7" i="8"/>
  <c r="B314" i="8" l="1"/>
  <c r="B313" i="8"/>
  <c r="AC7" i="8"/>
  <c r="AC8" i="8"/>
  <c r="AC10" i="8"/>
  <c r="AC12" i="8"/>
  <c r="AC14" i="8"/>
  <c r="AC16" i="8"/>
  <c r="AC18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K21" i="1"/>
  <c r="AB7" i="4" l="1"/>
  <c r="AI4" i="4"/>
  <c r="AH4" i="4"/>
  <c r="AG4" i="4"/>
  <c r="AF4" i="4"/>
  <c r="AE4" i="4"/>
  <c r="AD4" i="4"/>
  <c r="AC4" i="4"/>
  <c r="AB4" i="4"/>
  <c r="W20" i="7"/>
  <c r="W21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B313" i="7"/>
  <c r="C313" i="7"/>
  <c r="B314" i="7"/>
  <c r="C314" i="7"/>
  <c r="Z20" i="7"/>
  <c r="AB20" i="7"/>
  <c r="AC20" i="7"/>
  <c r="AF20" i="7"/>
  <c r="AH20" i="7"/>
  <c r="AJ20" i="7"/>
  <c r="AI20" i="7" s="1"/>
  <c r="AL20" i="7"/>
  <c r="AK20" i="7" s="1"/>
  <c r="AN20" i="7"/>
  <c r="AM20" i="7" s="1"/>
  <c r="AP20" i="7"/>
  <c r="AO20" i="7" s="1"/>
  <c r="Z21" i="7"/>
  <c r="AB21" i="7"/>
  <c r="AF21" i="7"/>
  <c r="AH21" i="7"/>
  <c r="AJ21" i="7"/>
  <c r="AI21" i="7" s="1"/>
  <c r="AL21" i="7"/>
  <c r="AK21" i="7" s="1"/>
  <c r="AN21" i="7"/>
  <c r="AM21" i="7" s="1"/>
  <c r="AP21" i="7"/>
  <c r="AO21" i="7" s="1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AP19" i="7"/>
  <c r="AO19" i="7" s="1"/>
  <c r="AN19" i="7"/>
  <c r="AM19" i="7" s="1"/>
  <c r="AL19" i="7"/>
  <c r="AK19" i="7" s="1"/>
  <c r="AJ19" i="7"/>
  <c r="AI19" i="7" s="1"/>
  <c r="AH19" i="7"/>
  <c r="AF19" i="7"/>
  <c r="AB19" i="7"/>
  <c r="Z19" i="7"/>
  <c r="AC19" i="7" s="1"/>
  <c r="AP18" i="7"/>
  <c r="AO18" i="7"/>
  <c r="AN18" i="7"/>
  <c r="AM18" i="7"/>
  <c r="AL18" i="7"/>
  <c r="AK18" i="7"/>
  <c r="AJ18" i="7"/>
  <c r="AI18" i="7"/>
  <c r="AH18" i="7"/>
  <c r="AF18" i="7"/>
  <c r="AB18" i="7"/>
  <c r="Z18" i="7"/>
  <c r="AC18" i="7" s="1"/>
  <c r="AP17" i="7"/>
  <c r="AO17" i="7" s="1"/>
  <c r="AN17" i="7"/>
  <c r="AM17" i="7" s="1"/>
  <c r="AL17" i="7"/>
  <c r="AK17" i="7" s="1"/>
  <c r="AJ17" i="7"/>
  <c r="AI17" i="7" s="1"/>
  <c r="AH17" i="7"/>
  <c r="AF17" i="7"/>
  <c r="AB17" i="7"/>
  <c r="Z17" i="7"/>
  <c r="AC17" i="7" s="1"/>
  <c r="AP16" i="7"/>
  <c r="AO16" i="7"/>
  <c r="AN16" i="7"/>
  <c r="AM16" i="7"/>
  <c r="AL16" i="7"/>
  <c r="AK16" i="7"/>
  <c r="AJ16" i="7"/>
  <c r="AI16" i="7"/>
  <c r="AH16" i="7"/>
  <c r="AF16" i="7"/>
  <c r="AB16" i="7"/>
  <c r="Z16" i="7"/>
  <c r="AC16" i="7" s="1"/>
  <c r="AP15" i="7"/>
  <c r="AO15" i="7" s="1"/>
  <c r="AN15" i="7"/>
  <c r="AM15" i="7" s="1"/>
  <c r="AL15" i="7"/>
  <c r="AK15" i="7" s="1"/>
  <c r="AJ15" i="7"/>
  <c r="AI15" i="7" s="1"/>
  <c r="AH15" i="7"/>
  <c r="AF15" i="7"/>
  <c r="AB15" i="7"/>
  <c r="Z15" i="7"/>
  <c r="AC15" i="7" s="1"/>
  <c r="AP14" i="7"/>
  <c r="AO14" i="7"/>
  <c r="AN14" i="7"/>
  <c r="AM14" i="7"/>
  <c r="AL14" i="7"/>
  <c r="AK14" i="7"/>
  <c r="AJ14" i="7"/>
  <c r="AI14" i="7"/>
  <c r="AH14" i="7"/>
  <c r="AF14" i="7"/>
  <c r="AB14" i="7"/>
  <c r="Z14" i="7"/>
  <c r="AC14" i="7" s="1"/>
  <c r="AP13" i="7"/>
  <c r="AO13" i="7" s="1"/>
  <c r="AN13" i="7"/>
  <c r="AM13" i="7" s="1"/>
  <c r="AL13" i="7"/>
  <c r="AK13" i="7" s="1"/>
  <c r="AJ13" i="7"/>
  <c r="AI13" i="7" s="1"/>
  <c r="AH13" i="7"/>
  <c r="AF13" i="7"/>
  <c r="AB13" i="7"/>
  <c r="Z13" i="7"/>
  <c r="AC13" i="7" s="1"/>
  <c r="AP12" i="7"/>
  <c r="AO12" i="7"/>
  <c r="AN12" i="7"/>
  <c r="AM12" i="7"/>
  <c r="AL12" i="7"/>
  <c r="AK12" i="7"/>
  <c r="AJ12" i="7"/>
  <c r="AI12" i="7"/>
  <c r="AH12" i="7"/>
  <c r="AF12" i="7"/>
  <c r="AB12" i="7"/>
  <c r="Z12" i="7"/>
  <c r="AC12" i="7" s="1"/>
  <c r="AP11" i="7"/>
  <c r="AO11" i="7" s="1"/>
  <c r="AN11" i="7"/>
  <c r="AM11" i="7" s="1"/>
  <c r="AL11" i="7"/>
  <c r="AK11" i="7" s="1"/>
  <c r="AJ11" i="7"/>
  <c r="AI11" i="7" s="1"/>
  <c r="AH11" i="7"/>
  <c r="AF11" i="7"/>
  <c r="AB11" i="7"/>
  <c r="Z11" i="7"/>
  <c r="AC11" i="7" s="1"/>
  <c r="AP10" i="7"/>
  <c r="AO10" i="7"/>
  <c r="AN10" i="7"/>
  <c r="AM10" i="7"/>
  <c r="AL10" i="7"/>
  <c r="AK10" i="7"/>
  <c r="AJ10" i="7"/>
  <c r="AI10" i="7"/>
  <c r="AH10" i="7"/>
  <c r="AF10" i="7"/>
  <c r="AB10" i="7"/>
  <c r="Z10" i="7"/>
  <c r="AC10" i="7" s="1"/>
  <c r="AP9" i="7"/>
  <c r="AO9" i="7" s="1"/>
  <c r="AN9" i="7"/>
  <c r="AM9" i="7" s="1"/>
  <c r="AL9" i="7"/>
  <c r="AK9" i="7" s="1"/>
  <c r="AJ9" i="7"/>
  <c r="AI9" i="7" s="1"/>
  <c r="AH9" i="7"/>
  <c r="AF9" i="7"/>
  <c r="AB9" i="7"/>
  <c r="Z9" i="7"/>
  <c r="AC9" i="7" s="1"/>
  <c r="AP8" i="7"/>
  <c r="AO8" i="7"/>
  <c r="AN8" i="7"/>
  <c r="AM8" i="7"/>
  <c r="AL8" i="7"/>
  <c r="AK8" i="7"/>
  <c r="AJ8" i="7"/>
  <c r="AI8" i="7"/>
  <c r="AH8" i="7"/>
  <c r="AF8" i="7"/>
  <c r="AB8" i="7"/>
  <c r="Z8" i="7"/>
  <c r="AC8" i="7" s="1"/>
  <c r="AP7" i="7"/>
  <c r="AO7" i="7" s="1"/>
  <c r="AN7" i="7"/>
  <c r="AM7" i="7" s="1"/>
  <c r="AL7" i="7"/>
  <c r="AK7" i="7" s="1"/>
  <c r="AJ7" i="7"/>
  <c r="AI7" i="7" s="1"/>
  <c r="AH7" i="7"/>
  <c r="AF7" i="7"/>
  <c r="AB7" i="7"/>
  <c r="Z7" i="7"/>
  <c r="AC7" i="7" s="1"/>
  <c r="B312" i="7"/>
  <c r="BK59" i="4" l="1"/>
  <c r="BK113" i="4"/>
  <c r="BK110" i="4"/>
  <c r="BK106" i="4"/>
  <c r="BK102" i="4"/>
  <c r="BK33" i="4"/>
  <c r="BK32" i="4"/>
  <c r="BK93" i="4"/>
  <c r="BK89" i="4"/>
  <c r="BK85" i="4"/>
  <c r="BK83" i="4"/>
  <c r="BK56" i="4"/>
  <c r="BK78" i="4"/>
  <c r="BK50" i="4"/>
  <c r="BK117" i="4"/>
  <c r="BK115" i="4"/>
  <c r="BK112" i="4"/>
  <c r="BK108" i="4"/>
  <c r="BK104" i="4"/>
  <c r="BK60" i="4"/>
  <c r="BK98" i="4"/>
  <c r="BK95" i="4"/>
  <c r="BK91" i="4"/>
  <c r="BK87" i="4"/>
  <c r="BK54" i="4"/>
  <c r="BK82" i="4"/>
  <c r="BK58" i="4"/>
  <c r="BK77" i="4"/>
  <c r="BK72" i="4"/>
  <c r="BK68" i="4"/>
  <c r="BK64" i="4"/>
  <c r="BK57" i="4"/>
  <c r="BK48" i="4"/>
  <c r="BK47" i="4"/>
  <c r="BK24" i="4"/>
  <c r="BK13" i="4"/>
  <c r="BK19" i="4"/>
  <c r="BK39" i="4"/>
  <c r="BK34" i="4"/>
  <c r="BK23" i="4"/>
  <c r="BK12" i="4"/>
  <c r="BK15" i="4"/>
  <c r="BK16" i="4"/>
  <c r="BK14" i="4"/>
  <c r="BK31" i="4"/>
  <c r="BK37" i="4"/>
  <c r="BK29" i="4"/>
  <c r="BK36" i="4"/>
  <c r="BK51" i="4"/>
  <c r="BK42" i="4"/>
  <c r="BK44" i="4"/>
  <c r="BK65" i="4"/>
  <c r="BK69" i="4"/>
  <c r="BK73" i="4"/>
  <c r="BK11" i="4"/>
  <c r="BK17" i="4"/>
  <c r="BK40" i="4"/>
  <c r="BK30" i="4"/>
  <c r="BK35" i="4"/>
  <c r="BK55" i="4"/>
  <c r="BK67" i="4"/>
  <c r="BK75" i="4"/>
  <c r="BK74" i="4"/>
  <c r="BK70" i="4"/>
  <c r="BK66" i="4"/>
  <c r="BK62" i="4"/>
  <c r="BK43" i="4"/>
  <c r="BK52" i="4"/>
  <c r="BK38" i="4"/>
  <c r="BK21" i="4"/>
  <c r="BK26" i="4"/>
  <c r="BK10" i="4"/>
  <c r="BK28" i="4"/>
  <c r="BK18" i="4"/>
  <c r="BK53" i="4"/>
  <c r="BK63" i="4"/>
  <c r="BK71" i="4"/>
  <c r="BK20" i="4"/>
  <c r="BK8" i="4"/>
  <c r="BK120" i="4"/>
  <c r="BK119" i="4"/>
  <c r="BK118" i="4"/>
  <c r="BK49" i="4"/>
  <c r="BK116" i="4"/>
  <c r="BK114" i="4"/>
  <c r="BK61" i="4"/>
  <c r="BK111" i="4"/>
  <c r="BK109" i="4"/>
  <c r="BK107" i="4"/>
  <c r="BK105" i="4"/>
  <c r="BK103" i="4"/>
  <c r="BK101" i="4"/>
  <c r="BK100" i="4"/>
  <c r="BK99" i="4"/>
  <c r="BK97" i="4"/>
  <c r="BK96" i="4"/>
  <c r="BK94" i="4"/>
  <c r="BK92" i="4"/>
  <c r="BK90" i="4"/>
  <c r="BK88" i="4"/>
  <c r="BK86" i="4"/>
  <c r="BK45" i="4"/>
  <c r="BK84" i="4"/>
  <c r="BK41" i="4"/>
  <c r="BK81" i="4"/>
  <c r="BK80" i="4"/>
  <c r="BK79" i="4"/>
  <c r="BK46" i="4"/>
  <c r="BK76" i="4"/>
  <c r="BK27" i="4"/>
  <c r="BK25" i="4"/>
  <c r="BK22" i="4"/>
  <c r="BK9" i="4"/>
  <c r="AC21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K16" i="1"/>
  <c r="AA7" i="4" l="1"/>
  <c r="E11" i="2"/>
  <c r="F12" i="2"/>
  <c r="K24" i="1"/>
  <c r="BJ120" i="4" l="1"/>
  <c r="BJ118" i="4"/>
  <c r="BJ119" i="4"/>
  <c r="BJ17" i="4"/>
  <c r="BJ26" i="4"/>
  <c r="BJ38" i="4"/>
  <c r="BJ47" i="4"/>
  <c r="BJ52" i="4"/>
  <c r="BJ48" i="4"/>
  <c r="BJ43" i="4"/>
  <c r="BJ57" i="4"/>
  <c r="BJ62" i="4"/>
  <c r="BJ64" i="4"/>
  <c r="BJ66" i="4"/>
  <c r="BJ68" i="4"/>
  <c r="BJ70" i="4"/>
  <c r="BJ72" i="4"/>
  <c r="BJ74" i="4"/>
  <c r="BJ50" i="4"/>
  <c r="BJ77" i="4"/>
  <c r="BJ78" i="4"/>
  <c r="BJ58" i="4"/>
  <c r="BJ56" i="4"/>
  <c r="BJ82" i="4"/>
  <c r="BJ83" i="4"/>
  <c r="BJ54" i="4"/>
  <c r="BJ85" i="4"/>
  <c r="BJ87" i="4"/>
  <c r="BJ89" i="4"/>
  <c r="BJ91" i="4"/>
  <c r="BJ93" i="4"/>
  <c r="BJ95" i="4"/>
  <c r="BJ32" i="4"/>
  <c r="BJ98" i="4"/>
  <c r="BJ33" i="4"/>
  <c r="BJ60" i="4"/>
  <c r="BJ102" i="4"/>
  <c r="BJ15" i="4"/>
  <c r="BJ36" i="4"/>
  <c r="BJ35" i="4"/>
  <c r="BJ51" i="4"/>
  <c r="BJ53" i="4"/>
  <c r="BJ42" i="4"/>
  <c r="BJ55" i="4"/>
  <c r="BJ44" i="4"/>
  <c r="BJ63" i="4"/>
  <c r="BJ65" i="4"/>
  <c r="BJ67" i="4"/>
  <c r="BJ69" i="4"/>
  <c r="BJ71" i="4"/>
  <c r="BJ73" i="4"/>
  <c r="BJ75" i="4"/>
  <c r="BJ76" i="4"/>
  <c r="BJ46" i="4"/>
  <c r="BJ79" i="4"/>
  <c r="BJ80" i="4"/>
  <c r="BJ81" i="4"/>
  <c r="BJ41" i="4"/>
  <c r="BJ84" i="4"/>
  <c r="BJ45" i="4"/>
  <c r="BJ86" i="4"/>
  <c r="BJ88" i="4"/>
  <c r="BJ90" i="4"/>
  <c r="BJ92" i="4"/>
  <c r="BJ94" i="4"/>
  <c r="BJ96" i="4"/>
  <c r="BJ97" i="4"/>
  <c r="BJ99" i="4"/>
  <c r="BJ100" i="4"/>
  <c r="BJ101" i="4"/>
  <c r="BJ103" i="4"/>
  <c r="BJ105" i="4"/>
  <c r="BJ107" i="4"/>
  <c r="BJ109" i="4"/>
  <c r="BJ111" i="4"/>
  <c r="BJ61" i="4"/>
  <c r="BJ114" i="4"/>
  <c r="BJ116" i="4"/>
  <c r="BJ49" i="4"/>
  <c r="BJ11" i="4"/>
  <c r="BJ106" i="4"/>
  <c r="BJ110" i="4"/>
  <c r="BJ113" i="4"/>
  <c r="BJ59" i="4"/>
  <c r="BJ22" i="4"/>
  <c r="BJ9" i="4"/>
  <c r="BJ12" i="4"/>
  <c r="BJ40" i="4"/>
  <c r="BJ31" i="4"/>
  <c r="BJ28" i="4"/>
  <c r="BJ37" i="4"/>
  <c r="BJ30" i="4"/>
  <c r="BJ29" i="4"/>
  <c r="BJ18" i="4"/>
  <c r="BJ16" i="4"/>
  <c r="BJ104" i="4"/>
  <c r="BJ108" i="4"/>
  <c r="BJ112" i="4"/>
  <c r="BJ115" i="4"/>
  <c r="BJ117" i="4"/>
  <c r="BJ39" i="4"/>
  <c r="BJ13" i="4"/>
  <c r="BJ19" i="4"/>
  <c r="BJ24" i="4"/>
  <c r="BJ14" i="4"/>
  <c r="BJ34" i="4"/>
  <c r="BJ25" i="4"/>
  <c r="BJ21" i="4"/>
  <c r="BJ27" i="4"/>
  <c r="BJ10" i="4"/>
  <c r="BJ23" i="4"/>
  <c r="BJ20" i="4"/>
  <c r="BJ8" i="4"/>
  <c r="N122" i="1"/>
  <c r="E36" i="2"/>
  <c r="E13" i="2"/>
  <c r="E37" i="2"/>
  <c r="K86" i="1"/>
  <c r="K84" i="1"/>
  <c r="K76" i="1"/>
  <c r="K74" i="1"/>
  <c r="M45" i="1"/>
  <c r="M47" i="1"/>
  <c r="M24" i="1"/>
  <c r="E61" i="1" l="1"/>
  <c r="E63" i="1"/>
  <c r="E58" i="1"/>
  <c r="E60" i="1"/>
  <c r="E52" i="1"/>
  <c r="E54" i="1"/>
  <c r="E42" i="1"/>
  <c r="E44" i="1"/>
  <c r="E36" i="1"/>
  <c r="E38" i="1"/>
  <c r="E28" i="1"/>
  <c r="E30" i="1"/>
  <c r="E22" i="1"/>
  <c r="E24" i="1"/>
  <c r="W16" i="5" l="1"/>
  <c r="W17" i="5"/>
  <c r="W18" i="5"/>
  <c r="W19" i="5"/>
  <c r="W15" i="5"/>
  <c r="W14" i="5"/>
  <c r="W13" i="5"/>
  <c r="W12" i="5"/>
  <c r="W11" i="5"/>
  <c r="W10" i="5"/>
  <c r="W9" i="5"/>
  <c r="W8" i="5"/>
  <c r="W7" i="5"/>
  <c r="L7" i="1" l="1"/>
  <c r="L6" i="1"/>
  <c r="C309" i="5"/>
  <c r="C310" i="5"/>
  <c r="C311" i="5"/>
  <c r="C312" i="5"/>
  <c r="Z16" i="5"/>
  <c r="AB16" i="5"/>
  <c r="AC16" i="5" s="1"/>
  <c r="AF16" i="5"/>
  <c r="AH16" i="5"/>
  <c r="AJ16" i="5"/>
  <c r="AI16" i="5" s="1"/>
  <c r="AL16" i="5"/>
  <c r="AK16" i="5" s="1"/>
  <c r="AN16" i="5"/>
  <c r="AM16" i="5" s="1"/>
  <c r="AP16" i="5"/>
  <c r="AO16" i="5" s="1"/>
  <c r="Z17" i="5"/>
  <c r="AB17" i="5"/>
  <c r="AF17" i="5"/>
  <c r="AH17" i="5"/>
  <c r="AI17" i="5"/>
  <c r="AJ17" i="5"/>
  <c r="AK17" i="5"/>
  <c r="AL17" i="5"/>
  <c r="AM17" i="5"/>
  <c r="AN17" i="5"/>
  <c r="AO17" i="5"/>
  <c r="AP17" i="5"/>
  <c r="Z18" i="5"/>
  <c r="AB18" i="5"/>
  <c r="AF18" i="5"/>
  <c r="AH18" i="5"/>
  <c r="AJ18" i="5"/>
  <c r="AI18" i="5" s="1"/>
  <c r="AL18" i="5"/>
  <c r="AK18" i="5" s="1"/>
  <c r="AN18" i="5"/>
  <c r="AM18" i="5" s="1"/>
  <c r="AP18" i="5"/>
  <c r="AO18" i="5" s="1"/>
  <c r="Z19" i="5"/>
  <c r="AB19" i="5"/>
  <c r="AF19" i="5"/>
  <c r="AH19" i="5"/>
  <c r="AI19" i="5"/>
  <c r="AJ19" i="5"/>
  <c r="AK19" i="5"/>
  <c r="AL19" i="5"/>
  <c r="AM19" i="5"/>
  <c r="AN19" i="5"/>
  <c r="AO19" i="5"/>
  <c r="AP19" i="5"/>
  <c r="C308" i="5"/>
  <c r="C307" i="5"/>
  <c r="C306" i="5"/>
  <c r="C305" i="5"/>
  <c r="C304" i="5"/>
  <c r="C303" i="5"/>
  <c r="C302" i="5"/>
  <c r="C301" i="5"/>
  <c r="C300" i="5"/>
  <c r="AP15" i="5"/>
  <c r="AO15" i="5" s="1"/>
  <c r="AN15" i="5"/>
  <c r="AM15" i="5" s="1"/>
  <c r="AL15" i="5"/>
  <c r="AK15" i="5" s="1"/>
  <c r="AJ15" i="5"/>
  <c r="AI15" i="5" s="1"/>
  <c r="AH15" i="5"/>
  <c r="AF15" i="5"/>
  <c r="AB15" i="5"/>
  <c r="Z15" i="5"/>
  <c r="AP14" i="5"/>
  <c r="AO14" i="5" s="1"/>
  <c r="AN14" i="5"/>
  <c r="AM14" i="5" s="1"/>
  <c r="AL14" i="5"/>
  <c r="AK14" i="5" s="1"/>
  <c r="AJ14" i="5"/>
  <c r="AI14" i="5" s="1"/>
  <c r="AH14" i="5"/>
  <c r="AF14" i="5"/>
  <c r="AB14" i="5"/>
  <c r="Z14" i="5"/>
  <c r="AP13" i="5"/>
  <c r="AO13" i="5" s="1"/>
  <c r="AN13" i="5"/>
  <c r="AM13" i="5" s="1"/>
  <c r="AL13" i="5"/>
  <c r="AK13" i="5" s="1"/>
  <c r="AJ13" i="5"/>
  <c r="AI13" i="5" s="1"/>
  <c r="AH13" i="5"/>
  <c r="AF13" i="5"/>
  <c r="AB13" i="5"/>
  <c r="Z13" i="5"/>
  <c r="AP12" i="5"/>
  <c r="AO12" i="5" s="1"/>
  <c r="AN12" i="5"/>
  <c r="AM12" i="5" s="1"/>
  <c r="AL12" i="5"/>
  <c r="AK12" i="5" s="1"/>
  <c r="AJ12" i="5"/>
  <c r="AI12" i="5" s="1"/>
  <c r="AH12" i="5"/>
  <c r="AF12" i="5"/>
  <c r="AB12" i="5"/>
  <c r="Z12" i="5"/>
  <c r="AP11" i="5"/>
  <c r="AO11" i="5" s="1"/>
  <c r="AN11" i="5"/>
  <c r="AM11" i="5" s="1"/>
  <c r="AL11" i="5"/>
  <c r="AK11" i="5" s="1"/>
  <c r="AJ11" i="5"/>
  <c r="AI11" i="5" s="1"/>
  <c r="AH11" i="5"/>
  <c r="AF11" i="5"/>
  <c r="AB11" i="5"/>
  <c r="Z11" i="5"/>
  <c r="AP10" i="5"/>
  <c r="AO10" i="5" s="1"/>
  <c r="AN10" i="5"/>
  <c r="AM10" i="5" s="1"/>
  <c r="AL10" i="5"/>
  <c r="AK10" i="5" s="1"/>
  <c r="AJ10" i="5"/>
  <c r="AI10" i="5" s="1"/>
  <c r="AH10" i="5"/>
  <c r="AF10" i="5"/>
  <c r="AB10" i="5"/>
  <c r="Z10" i="5"/>
  <c r="AP9" i="5"/>
  <c r="AO9" i="5" s="1"/>
  <c r="AN9" i="5"/>
  <c r="AM9" i="5" s="1"/>
  <c r="AL9" i="5"/>
  <c r="AK9" i="5" s="1"/>
  <c r="AJ9" i="5"/>
  <c r="AI9" i="5" s="1"/>
  <c r="AH9" i="5"/>
  <c r="AF9" i="5"/>
  <c r="AB9" i="5"/>
  <c r="Z9" i="5"/>
  <c r="AP8" i="5"/>
  <c r="AO8" i="5" s="1"/>
  <c r="AN8" i="5"/>
  <c r="AM8" i="5" s="1"/>
  <c r="AL8" i="5"/>
  <c r="AK8" i="5" s="1"/>
  <c r="AJ8" i="5"/>
  <c r="AI8" i="5" s="1"/>
  <c r="AH8" i="5"/>
  <c r="AF8" i="5"/>
  <c r="AB8" i="5"/>
  <c r="Z8" i="5"/>
  <c r="AP7" i="5"/>
  <c r="AO7" i="5" s="1"/>
  <c r="AN7" i="5"/>
  <c r="AM7" i="5" s="1"/>
  <c r="AL7" i="5"/>
  <c r="AJ7" i="5"/>
  <c r="AH7" i="5"/>
  <c r="AF7" i="5"/>
  <c r="AB7" i="5"/>
  <c r="Z7" i="5"/>
  <c r="AC10" i="5" l="1"/>
  <c r="AC14" i="5"/>
  <c r="AC15" i="5"/>
  <c r="AC19" i="5"/>
  <c r="AC17" i="5"/>
  <c r="AC8" i="5"/>
  <c r="AC12" i="5"/>
  <c r="AC7" i="5"/>
  <c r="AC9" i="5"/>
  <c r="AC11" i="5"/>
  <c r="AC13" i="5"/>
  <c r="AC18" i="5"/>
  <c r="AA4" i="4" l="1"/>
  <c r="Z4" i="4"/>
  <c r="Q121" i="4"/>
  <c r="P121" i="4"/>
  <c r="O121" i="4"/>
  <c r="M121" i="4"/>
  <c r="N120" i="4"/>
  <c r="N117" i="4"/>
  <c r="N114" i="4"/>
  <c r="N113" i="4"/>
  <c r="N112" i="4"/>
  <c r="N101" i="4"/>
  <c r="N99" i="4"/>
  <c r="N97" i="4"/>
  <c r="N39" i="4"/>
  <c r="N93" i="4"/>
  <c r="N91" i="4"/>
  <c r="N90" i="4"/>
  <c r="N87" i="4"/>
  <c r="N85" i="4"/>
  <c r="N84" i="4"/>
  <c r="N83" i="4"/>
  <c r="N82" i="4"/>
  <c r="N52" i="4"/>
  <c r="N80" i="4"/>
  <c r="N58" i="4"/>
  <c r="E58" i="4" s="1"/>
  <c r="N77" i="4"/>
  <c r="N73" i="4"/>
  <c r="N71" i="4"/>
  <c r="N70" i="4"/>
  <c r="N67" i="4"/>
  <c r="N66" i="4"/>
  <c r="N10" i="4"/>
  <c r="N51" i="4"/>
  <c r="N55" i="4"/>
  <c r="N43" i="4"/>
  <c r="N119" i="4"/>
  <c r="N95" i="4"/>
  <c r="N42" i="4"/>
  <c r="N61" i="4"/>
  <c r="N47" i="4"/>
  <c r="N29" i="4"/>
  <c r="N21" i="4"/>
  <c r="N28" i="4"/>
  <c r="E28" i="4" s="1"/>
  <c r="N56" i="4"/>
  <c r="N27" i="4"/>
  <c r="E27" i="4" s="1"/>
  <c r="N16" i="4"/>
  <c r="N59" i="4"/>
  <c r="N53" i="4"/>
  <c r="N22" i="4"/>
  <c r="N45" i="4"/>
  <c r="N44" i="4"/>
  <c r="E44" i="4" s="1"/>
  <c r="N24" i="4"/>
  <c r="N35" i="4"/>
  <c r="N23" i="4"/>
  <c r="N14" i="4"/>
  <c r="N31" i="4"/>
  <c r="N40" i="4"/>
  <c r="N9" i="4"/>
  <c r="AM7" i="4"/>
  <c r="BR7" i="4"/>
  <c r="BQ7" i="4"/>
  <c r="BP7" i="4"/>
  <c r="BO7" i="4"/>
  <c r="BN7" i="4"/>
  <c r="BM7" i="4"/>
  <c r="BK7" i="4"/>
  <c r="V7" i="4"/>
  <c r="N7" i="4"/>
  <c r="AG121" i="4"/>
  <c r="AE121" i="4"/>
  <c r="AC121" i="4"/>
  <c r="AA121" i="4"/>
  <c r="BQ6" i="4"/>
  <c r="BO6" i="4"/>
  <c r="BM6" i="4"/>
  <c r="AM6" i="4"/>
  <c r="AI6" i="4"/>
  <c r="AH6" i="4"/>
  <c r="AG6" i="4"/>
  <c r="AF6" i="4"/>
  <c r="AE6" i="4"/>
  <c r="AD6" i="4"/>
  <c r="AC6" i="4"/>
  <c r="AB6" i="4"/>
  <c r="AA6" i="4"/>
  <c r="Z6" i="4"/>
  <c r="S3" i="4"/>
  <c r="AT5" i="4"/>
  <c r="AC122" i="4" l="1"/>
  <c r="I18" i="2"/>
  <c r="AG122" i="4"/>
  <c r="I28" i="2"/>
  <c r="AE122" i="4"/>
  <c r="I24" i="2"/>
  <c r="AX7" i="4"/>
  <c r="AM121" i="4"/>
  <c r="AM122" i="4" s="1"/>
  <c r="N121" i="4"/>
  <c r="AA122" i="4"/>
  <c r="I6" i="2"/>
  <c r="BK6" i="4"/>
  <c r="AV7" i="4"/>
  <c r="AZ7" i="4"/>
  <c r="BD7" i="4"/>
  <c r="BL7" i="4"/>
  <c r="AI121" i="4"/>
  <c r="BB7" i="4"/>
  <c r="BJ7" i="4"/>
  <c r="BJ6" i="4"/>
  <c r="BL6" i="4"/>
  <c r="BN6" i="4"/>
  <c r="BP6" i="4"/>
  <c r="BR6" i="4"/>
  <c r="AB121" i="4"/>
  <c r="AD121" i="4"/>
  <c r="AF121" i="4"/>
  <c r="AH121" i="4"/>
  <c r="AW7" i="4"/>
  <c r="AY7" i="4"/>
  <c r="BA7" i="4"/>
  <c r="BC7" i="4"/>
  <c r="AB122" i="4" l="1"/>
  <c r="I11" i="2"/>
  <c r="AH122" i="4"/>
  <c r="I30" i="2"/>
  <c r="AD122" i="4"/>
  <c r="I22" i="2"/>
  <c r="AF122" i="4"/>
  <c r="I27" i="2"/>
  <c r="AI122" i="4"/>
  <c r="I34" i="2"/>
  <c r="D48" i="2"/>
  <c r="D49" i="2" l="1"/>
  <c r="F40" i="2"/>
  <c r="F39" i="2"/>
  <c r="E39" i="2"/>
  <c r="F36" i="2"/>
  <c r="F35" i="2"/>
  <c r="E35" i="2"/>
  <c r="F34" i="2"/>
  <c r="E34" i="2"/>
  <c r="F33" i="2"/>
  <c r="E33" i="2"/>
  <c r="F30" i="2"/>
  <c r="E30" i="2"/>
  <c r="F32" i="2"/>
  <c r="E32" i="2"/>
  <c r="F13" i="2"/>
  <c r="F29" i="2"/>
  <c r="E29" i="2"/>
  <c r="F28" i="2"/>
  <c r="E28" i="2"/>
  <c r="F27" i="2"/>
  <c r="E27" i="2"/>
  <c r="F24" i="2"/>
  <c r="E24" i="2"/>
  <c r="F25" i="2"/>
  <c r="F23" i="2"/>
  <c r="E23" i="2"/>
  <c r="F22" i="2"/>
  <c r="E22" i="2"/>
  <c r="F18" i="2"/>
  <c r="F21" i="2"/>
  <c r="E21" i="2"/>
  <c r="F20" i="2"/>
  <c r="E20" i="2"/>
  <c r="F17" i="2"/>
  <c r="E17" i="2"/>
  <c r="F11" i="2"/>
  <c r="F16" i="2"/>
  <c r="C16" i="2"/>
  <c r="F15" i="2"/>
  <c r="E15" i="2"/>
  <c r="C15" i="2"/>
  <c r="F6" i="2"/>
  <c r="E6" i="2"/>
  <c r="F14" i="2"/>
  <c r="E14" i="2"/>
  <c r="F37" i="2"/>
  <c r="F10" i="2"/>
  <c r="F8" i="2"/>
  <c r="E8" i="2"/>
  <c r="F7" i="2"/>
  <c r="E7" i="2"/>
  <c r="F5" i="2"/>
  <c r="E5" i="2"/>
  <c r="F1" i="2"/>
  <c r="A1" i="5" l="1"/>
  <c r="E16" i="1"/>
  <c r="E10" i="1"/>
  <c r="K47" i="1"/>
  <c r="B309" i="5" l="1"/>
  <c r="B308" i="5"/>
  <c r="B311" i="5"/>
  <c r="B301" i="5"/>
  <c r="B303" i="5"/>
  <c r="B305" i="5"/>
  <c r="B307" i="5"/>
  <c r="B312" i="5"/>
  <c r="B310" i="5"/>
  <c r="B300" i="5"/>
  <c r="B302" i="5"/>
  <c r="B304" i="5"/>
  <c r="B306" i="5"/>
  <c r="E14" i="1"/>
  <c r="E8" i="1"/>
  <c r="Z7" i="4" l="1"/>
  <c r="M21" i="1"/>
  <c r="K35" i="1"/>
  <c r="AO118" i="4" l="1"/>
  <c r="AP120" i="4"/>
  <c r="AO119" i="4"/>
  <c r="AP117" i="4"/>
  <c r="AO117" i="4"/>
  <c r="BI49" i="4"/>
  <c r="S49" i="4" s="1"/>
  <c r="AP115" i="4"/>
  <c r="AO115" i="4"/>
  <c r="BI114" i="4"/>
  <c r="S114" i="4" s="1"/>
  <c r="AP112" i="4"/>
  <c r="AO112" i="4"/>
  <c r="BI111" i="4"/>
  <c r="S111" i="4" s="1"/>
  <c r="AP108" i="4"/>
  <c r="AO108" i="4"/>
  <c r="BI107" i="4"/>
  <c r="S107" i="4" s="1"/>
  <c r="AP104" i="4"/>
  <c r="AO104" i="4"/>
  <c r="BI103" i="4"/>
  <c r="S103" i="4" s="1"/>
  <c r="AP60" i="4"/>
  <c r="AO60" i="4"/>
  <c r="BI100" i="4"/>
  <c r="S100" i="4" s="1"/>
  <c r="AP98" i="4"/>
  <c r="AO98" i="4"/>
  <c r="BI97" i="4"/>
  <c r="S97" i="4" s="1"/>
  <c r="AP95" i="4"/>
  <c r="AO95" i="4"/>
  <c r="BI94" i="4"/>
  <c r="S94" i="4" s="1"/>
  <c r="AP91" i="4"/>
  <c r="AO91" i="4"/>
  <c r="BI90" i="4"/>
  <c r="S90" i="4" s="1"/>
  <c r="AP87" i="4"/>
  <c r="AO87" i="4"/>
  <c r="BI86" i="4"/>
  <c r="S86" i="4" s="1"/>
  <c r="AP54" i="4"/>
  <c r="AO54" i="4"/>
  <c r="BI84" i="4"/>
  <c r="S84" i="4" s="1"/>
  <c r="AP82" i="4"/>
  <c r="AO82" i="4"/>
  <c r="BI81" i="4"/>
  <c r="S81" i="4" s="1"/>
  <c r="AP58" i="4"/>
  <c r="AO58" i="4"/>
  <c r="BI79" i="4"/>
  <c r="S79" i="4" s="1"/>
  <c r="AP77" i="4"/>
  <c r="AO77" i="4"/>
  <c r="BI76" i="4"/>
  <c r="S76" i="4" s="1"/>
  <c r="BI75" i="4"/>
  <c r="S75" i="4" s="1"/>
  <c r="AP74" i="4"/>
  <c r="AO74" i="4"/>
  <c r="BI71" i="4"/>
  <c r="S71" i="4" s="1"/>
  <c r="AP70" i="4"/>
  <c r="AO70" i="4"/>
  <c r="BI67" i="4"/>
  <c r="S67" i="4" s="1"/>
  <c r="AP66" i="4"/>
  <c r="AO66" i="4"/>
  <c r="BI63" i="4"/>
  <c r="S63" i="4" s="1"/>
  <c r="AP62" i="4"/>
  <c r="AO62" i="4"/>
  <c r="BI55" i="4"/>
  <c r="S55" i="4" s="1"/>
  <c r="AP43" i="4"/>
  <c r="AO43" i="4"/>
  <c r="AO120" i="4"/>
  <c r="AP119" i="4"/>
  <c r="AP59" i="4"/>
  <c r="AO59" i="4"/>
  <c r="BI116" i="4"/>
  <c r="S116" i="4" s="1"/>
  <c r="AP113" i="4"/>
  <c r="AO113" i="4"/>
  <c r="BI61" i="4"/>
  <c r="S61" i="4" s="1"/>
  <c r="AP110" i="4"/>
  <c r="AO110" i="4"/>
  <c r="BI109" i="4"/>
  <c r="S109" i="4" s="1"/>
  <c r="AP106" i="4"/>
  <c r="AO106" i="4"/>
  <c r="BI105" i="4"/>
  <c r="S105" i="4" s="1"/>
  <c r="AP102" i="4"/>
  <c r="AO102" i="4"/>
  <c r="BI101" i="4"/>
  <c r="S101" i="4" s="1"/>
  <c r="AP33" i="4"/>
  <c r="AO33" i="4"/>
  <c r="BI99" i="4"/>
  <c r="S99" i="4" s="1"/>
  <c r="AP32" i="4"/>
  <c r="AO32" i="4"/>
  <c r="BI96" i="4"/>
  <c r="S96" i="4" s="1"/>
  <c r="AP93" i="4"/>
  <c r="AO93" i="4"/>
  <c r="BI92" i="4"/>
  <c r="S92" i="4" s="1"/>
  <c r="AP89" i="4"/>
  <c r="AO89" i="4"/>
  <c r="BI88" i="4"/>
  <c r="S88" i="4" s="1"/>
  <c r="AP85" i="4"/>
  <c r="AO85" i="4"/>
  <c r="BI45" i="4"/>
  <c r="S45" i="4" s="1"/>
  <c r="AP83" i="4"/>
  <c r="AO83" i="4"/>
  <c r="BI41" i="4"/>
  <c r="S41" i="4" s="1"/>
  <c r="AP56" i="4"/>
  <c r="AO56" i="4"/>
  <c r="BI80" i="4"/>
  <c r="S80" i="4" s="1"/>
  <c r="AP78" i="4"/>
  <c r="AO78" i="4"/>
  <c r="BI46" i="4"/>
  <c r="S46" i="4" s="1"/>
  <c r="AP50" i="4"/>
  <c r="AO50" i="4"/>
  <c r="BI74" i="4"/>
  <c r="S74" i="4" s="1"/>
  <c r="BI70" i="4"/>
  <c r="S70" i="4" s="1"/>
  <c r="BI66" i="4"/>
  <c r="S66" i="4" s="1"/>
  <c r="BI62" i="4"/>
  <c r="S62" i="4" s="1"/>
  <c r="BI43" i="4"/>
  <c r="S43" i="4" s="1"/>
  <c r="BI52" i="4"/>
  <c r="S52" i="4" s="1"/>
  <c r="BI38" i="4"/>
  <c r="S38" i="4" s="1"/>
  <c r="BI18" i="4"/>
  <c r="S18" i="4" s="1"/>
  <c r="AP24" i="4"/>
  <c r="AO24" i="4"/>
  <c r="BI19" i="4"/>
  <c r="S19" i="4" s="1"/>
  <c r="BI28" i="4"/>
  <c r="S28" i="4" s="1"/>
  <c r="AP13" i="4"/>
  <c r="AO13" i="4"/>
  <c r="BI24" i="4"/>
  <c r="S24" i="4" s="1"/>
  <c r="BI30" i="4"/>
  <c r="S30" i="4" s="1"/>
  <c r="AP19" i="4"/>
  <c r="AO19" i="4"/>
  <c r="AO39" i="4"/>
  <c r="AP15" i="4"/>
  <c r="AO15" i="4"/>
  <c r="BI53" i="4"/>
  <c r="S53" i="4" s="1"/>
  <c r="AP52" i="4"/>
  <c r="AO52" i="4"/>
  <c r="BI35" i="4"/>
  <c r="S35" i="4" s="1"/>
  <c r="AP38" i="4"/>
  <c r="AO38" i="4"/>
  <c r="BI13" i="4"/>
  <c r="S13" i="4" s="1"/>
  <c r="BI40" i="4"/>
  <c r="S40" i="4" s="1"/>
  <c r="AP39" i="4"/>
  <c r="BI39" i="4"/>
  <c r="S39" i="4" s="1"/>
  <c r="AP34" i="4"/>
  <c r="AP23" i="4"/>
  <c r="BI23" i="4"/>
  <c r="S23" i="4" s="1"/>
  <c r="AP16" i="4"/>
  <c r="AO16" i="4"/>
  <c r="BI11" i="4"/>
  <c r="S11" i="4" s="1"/>
  <c r="BI26" i="4"/>
  <c r="S26" i="4" s="1"/>
  <c r="BI17" i="4"/>
  <c r="S17" i="4" s="1"/>
  <c r="BI34" i="4"/>
  <c r="S34" i="4" s="1"/>
  <c r="AO11" i="4"/>
  <c r="AP40" i="4"/>
  <c r="AP28" i="4"/>
  <c r="AP30" i="4"/>
  <c r="AP18" i="4"/>
  <c r="AP25" i="4"/>
  <c r="AP21" i="4"/>
  <c r="AP27" i="4"/>
  <c r="AP36" i="4"/>
  <c r="AP51" i="4"/>
  <c r="AP42" i="4"/>
  <c r="AP44" i="4"/>
  <c r="AP65" i="4"/>
  <c r="AP69" i="4"/>
  <c r="AP73" i="4"/>
  <c r="AP20" i="4"/>
  <c r="AP8" i="4"/>
  <c r="BI120" i="4"/>
  <c r="S120" i="4" s="1"/>
  <c r="BI119" i="4"/>
  <c r="S119" i="4" s="1"/>
  <c r="BI118" i="4"/>
  <c r="S118" i="4" s="1"/>
  <c r="BI117" i="4"/>
  <c r="S117" i="4" s="1"/>
  <c r="AP49" i="4"/>
  <c r="AO49" i="4"/>
  <c r="BI59" i="4"/>
  <c r="S59" i="4" s="1"/>
  <c r="AP116" i="4"/>
  <c r="AO116" i="4"/>
  <c r="BI115" i="4"/>
  <c r="S115" i="4" s="1"/>
  <c r="AP114" i="4"/>
  <c r="AO114" i="4"/>
  <c r="BI113" i="4"/>
  <c r="S113" i="4" s="1"/>
  <c r="AP61" i="4"/>
  <c r="AO61" i="4"/>
  <c r="BI112" i="4"/>
  <c r="S112" i="4" s="1"/>
  <c r="AP111" i="4"/>
  <c r="AO111" i="4"/>
  <c r="BI110" i="4"/>
  <c r="S110" i="4" s="1"/>
  <c r="AP109" i="4"/>
  <c r="AO109" i="4"/>
  <c r="BI108" i="4"/>
  <c r="S108" i="4" s="1"/>
  <c r="AP107" i="4"/>
  <c r="AO107" i="4"/>
  <c r="BI106" i="4"/>
  <c r="S106" i="4" s="1"/>
  <c r="AP105" i="4"/>
  <c r="AO105" i="4"/>
  <c r="BI104" i="4"/>
  <c r="S104" i="4" s="1"/>
  <c r="AP103" i="4"/>
  <c r="AO103" i="4"/>
  <c r="BI102" i="4"/>
  <c r="S102" i="4" s="1"/>
  <c r="AP101" i="4"/>
  <c r="AO101" i="4"/>
  <c r="BI60" i="4"/>
  <c r="S60" i="4" s="1"/>
  <c r="AP100" i="4"/>
  <c r="AO100" i="4"/>
  <c r="BI33" i="4"/>
  <c r="S33" i="4" s="1"/>
  <c r="AP99" i="4"/>
  <c r="AO99" i="4"/>
  <c r="BI98" i="4"/>
  <c r="S98" i="4" s="1"/>
  <c r="AP97" i="4"/>
  <c r="AO97" i="4"/>
  <c r="BI32" i="4"/>
  <c r="S32" i="4" s="1"/>
  <c r="AP96" i="4"/>
  <c r="AO96" i="4"/>
  <c r="BI95" i="4"/>
  <c r="S95" i="4" s="1"/>
  <c r="AP94" i="4"/>
  <c r="AO94" i="4"/>
  <c r="BI93" i="4"/>
  <c r="S93" i="4" s="1"/>
  <c r="AP92" i="4"/>
  <c r="AO92" i="4"/>
  <c r="BI91" i="4"/>
  <c r="S91" i="4" s="1"/>
  <c r="AP90" i="4"/>
  <c r="AO90" i="4"/>
  <c r="BI89" i="4"/>
  <c r="S89" i="4" s="1"/>
  <c r="AP88" i="4"/>
  <c r="AO88" i="4"/>
  <c r="BI87" i="4"/>
  <c r="S87" i="4" s="1"/>
  <c r="AP86" i="4"/>
  <c r="AO86" i="4"/>
  <c r="BI85" i="4"/>
  <c r="S85" i="4" s="1"/>
  <c r="AP45" i="4"/>
  <c r="AO45" i="4"/>
  <c r="BI54" i="4"/>
  <c r="S54" i="4" s="1"/>
  <c r="AP84" i="4"/>
  <c r="AO84" i="4"/>
  <c r="BI83" i="4"/>
  <c r="S83" i="4" s="1"/>
  <c r="AP41" i="4"/>
  <c r="AO41" i="4"/>
  <c r="BI82" i="4"/>
  <c r="S82" i="4" s="1"/>
  <c r="AP81" i="4"/>
  <c r="AO81" i="4"/>
  <c r="BI56" i="4"/>
  <c r="S56" i="4" s="1"/>
  <c r="AP80" i="4"/>
  <c r="AO80" i="4"/>
  <c r="BI58" i="4"/>
  <c r="S58" i="4" s="1"/>
  <c r="AP79" i="4"/>
  <c r="AO79" i="4"/>
  <c r="BI78" i="4"/>
  <c r="S78" i="4" s="1"/>
  <c r="AP46" i="4"/>
  <c r="AO46" i="4"/>
  <c r="BI77" i="4"/>
  <c r="S77" i="4" s="1"/>
  <c r="AP76" i="4"/>
  <c r="AO76" i="4"/>
  <c r="BI50" i="4"/>
  <c r="S50" i="4" s="1"/>
  <c r="BI72" i="4"/>
  <c r="S72" i="4" s="1"/>
  <c r="BI68" i="4"/>
  <c r="S68" i="4" s="1"/>
  <c r="BI64" i="4"/>
  <c r="S64" i="4" s="1"/>
  <c r="BI57" i="4"/>
  <c r="S57" i="4" s="1"/>
  <c r="BI48" i="4"/>
  <c r="S48" i="4" s="1"/>
  <c r="BI47" i="4"/>
  <c r="S47" i="4" s="1"/>
  <c r="AO73" i="4"/>
  <c r="AO69" i="4"/>
  <c r="AO65" i="4"/>
  <c r="AO44" i="4"/>
  <c r="AO42" i="4"/>
  <c r="AO51" i="4"/>
  <c r="AO36" i="4"/>
  <c r="BI27" i="4"/>
  <c r="S27" i="4" s="1"/>
  <c r="AO21" i="4"/>
  <c r="BI25" i="4"/>
  <c r="S25" i="4" s="1"/>
  <c r="AO29" i="4"/>
  <c r="AO37" i="4"/>
  <c r="AO31" i="4"/>
  <c r="AP17" i="4"/>
  <c r="BI16" i="4"/>
  <c r="S16" i="4" s="1"/>
  <c r="BI12" i="4"/>
  <c r="S12" i="4" s="1"/>
  <c r="BI15" i="4"/>
  <c r="S15" i="4" s="1"/>
  <c r="AP10" i="4"/>
  <c r="AP14" i="4"/>
  <c r="AO17" i="4"/>
  <c r="AP31" i="4"/>
  <c r="AP37" i="4"/>
  <c r="AP29" i="4"/>
  <c r="AO26" i="4"/>
  <c r="BI31" i="4"/>
  <c r="S31" i="4" s="1"/>
  <c r="BI37" i="4"/>
  <c r="S37" i="4" s="1"/>
  <c r="BI29" i="4"/>
  <c r="S29" i="4" s="1"/>
  <c r="AP35" i="4"/>
  <c r="AP53" i="4"/>
  <c r="AP55" i="4"/>
  <c r="AP63" i="4"/>
  <c r="AP67" i="4"/>
  <c r="AP71" i="4"/>
  <c r="AP75" i="4"/>
  <c r="AP118" i="4"/>
  <c r="BI73" i="4"/>
  <c r="S73" i="4" s="1"/>
  <c r="AP72" i="4"/>
  <c r="AO72" i="4"/>
  <c r="BI69" i="4"/>
  <c r="S69" i="4" s="1"/>
  <c r="AP68" i="4"/>
  <c r="AO68" i="4"/>
  <c r="BI65" i="4"/>
  <c r="S65" i="4" s="1"/>
  <c r="AP64" i="4"/>
  <c r="AO64" i="4"/>
  <c r="BI44" i="4"/>
  <c r="S44" i="4" s="1"/>
  <c r="AP57" i="4"/>
  <c r="AO57" i="4"/>
  <c r="BI42" i="4"/>
  <c r="S42" i="4" s="1"/>
  <c r="AP48" i="4"/>
  <c r="AO48" i="4"/>
  <c r="BI51" i="4"/>
  <c r="S51" i="4" s="1"/>
  <c r="AP47" i="4"/>
  <c r="AO47" i="4"/>
  <c r="BI36" i="4"/>
  <c r="S36" i="4" s="1"/>
  <c r="AO75" i="4"/>
  <c r="AO71" i="4"/>
  <c r="AO67" i="4"/>
  <c r="AO63" i="4"/>
  <c r="AO55" i="4"/>
  <c r="AO53" i="4"/>
  <c r="AO35" i="4"/>
  <c r="AO27" i="4"/>
  <c r="BI21" i="4"/>
  <c r="S21" i="4" s="1"/>
  <c r="AO25" i="4"/>
  <c r="AO18" i="4"/>
  <c r="AO28" i="4"/>
  <c r="AP11" i="4"/>
  <c r="AO14" i="4"/>
  <c r="AO34" i="4"/>
  <c r="BI10" i="4"/>
  <c r="S10" i="4" s="1"/>
  <c r="AO10" i="4"/>
  <c r="AO20" i="4"/>
  <c r="AO22" i="4"/>
  <c r="AO8" i="4"/>
  <c r="AO9" i="4"/>
  <c r="AO30" i="4"/>
  <c r="AO40" i="4"/>
  <c r="AP12" i="4"/>
  <c r="AO12" i="4"/>
  <c r="AP26" i="4"/>
  <c r="BI14" i="4"/>
  <c r="S14" i="4" s="1"/>
  <c r="AO23" i="4"/>
  <c r="AP22" i="4"/>
  <c r="AP9" i="4"/>
  <c r="BI20" i="4"/>
  <c r="S20" i="4" s="1"/>
  <c r="BI22" i="4"/>
  <c r="S22" i="4" s="1"/>
  <c r="BI8" i="4"/>
  <c r="S8" i="4" s="1"/>
  <c r="BI9" i="4"/>
  <c r="S9" i="4" s="1"/>
  <c r="AG18" i="10"/>
  <c r="AG11" i="11"/>
  <c r="AF17" i="9"/>
  <c r="AD17" i="9" s="1"/>
  <c r="AG18" i="11"/>
  <c r="AE11" i="11"/>
  <c r="AF22" i="9"/>
  <c r="AD22" i="9" s="1"/>
  <c r="AE15" i="11"/>
  <c r="AF10" i="9"/>
  <c r="AD10" i="9" s="1"/>
  <c r="AG12" i="11"/>
  <c r="AF24" i="9"/>
  <c r="AD24" i="9" s="1"/>
  <c r="AG14" i="8"/>
  <c r="AG10" i="10"/>
  <c r="AE8" i="10"/>
  <c r="AE17" i="11"/>
  <c r="AE13" i="11"/>
  <c r="AG8" i="10"/>
  <c r="AE8" i="11"/>
  <c r="AE14" i="11"/>
  <c r="AE13" i="10"/>
  <c r="AG17" i="10"/>
  <c r="AG20" i="10"/>
  <c r="AG7" i="11"/>
  <c r="AE16" i="7"/>
  <c r="AG19" i="10"/>
  <c r="AE19" i="10"/>
  <c r="AG15" i="11"/>
  <c r="AE21" i="8"/>
  <c r="AE7" i="10"/>
  <c r="AE10" i="10"/>
  <c r="AG17" i="11"/>
  <c r="AE10" i="11"/>
  <c r="R7" i="4"/>
  <c r="BI7" i="4"/>
  <c r="S7" i="4" s="1"/>
  <c r="BI6" i="4"/>
  <c r="AK7" i="4"/>
  <c r="Z121" i="4"/>
  <c r="AP7" i="4"/>
  <c r="AO7" i="4"/>
  <c r="AN7" i="4"/>
  <c r="AU7" i="4"/>
  <c r="AT7" i="4" s="1"/>
  <c r="M88" i="1"/>
  <c r="K88" i="1"/>
  <c r="AE7" i="16" l="1"/>
  <c r="AD7" i="16" s="1"/>
  <c r="AE10" i="17"/>
  <c r="AD10" i="17" s="1"/>
  <c r="AE7" i="13"/>
  <c r="AD7" i="13" s="1"/>
  <c r="AE9" i="14"/>
  <c r="AD9" i="14" s="1"/>
  <c r="AD10" i="10"/>
  <c r="AD11" i="11"/>
  <c r="W8" i="4"/>
  <c r="T8" i="4"/>
  <c r="T20" i="4"/>
  <c r="W20" i="4"/>
  <c r="T14" i="4"/>
  <c r="W14" i="4"/>
  <c r="T21" i="4"/>
  <c r="W21" i="4"/>
  <c r="W51" i="4"/>
  <c r="T51" i="4"/>
  <c r="W44" i="4"/>
  <c r="T44" i="4"/>
  <c r="W69" i="4"/>
  <c r="T69" i="4"/>
  <c r="T29" i="4"/>
  <c r="W29" i="4"/>
  <c r="W31" i="4"/>
  <c r="T31" i="4"/>
  <c r="T15" i="4"/>
  <c r="W15" i="4"/>
  <c r="W16" i="4"/>
  <c r="T16" i="4"/>
  <c r="T48" i="4"/>
  <c r="W48" i="4"/>
  <c r="T64" i="4"/>
  <c r="W64" i="4"/>
  <c r="T72" i="4"/>
  <c r="W72" i="4"/>
  <c r="T77" i="4"/>
  <c r="W77" i="4"/>
  <c r="W58" i="4"/>
  <c r="T58" i="4"/>
  <c r="W82" i="4"/>
  <c r="T82" i="4"/>
  <c r="T54" i="4"/>
  <c r="W54" i="4"/>
  <c r="W87" i="4"/>
  <c r="T87" i="4"/>
  <c r="T91" i="4"/>
  <c r="W91" i="4"/>
  <c r="W95" i="4"/>
  <c r="T95" i="4"/>
  <c r="T98" i="4"/>
  <c r="W98" i="4"/>
  <c r="W60" i="4"/>
  <c r="T60" i="4"/>
  <c r="T104" i="4"/>
  <c r="W104" i="4"/>
  <c r="W108" i="4"/>
  <c r="T108" i="4"/>
  <c r="T112" i="4"/>
  <c r="W112" i="4"/>
  <c r="W115" i="4"/>
  <c r="T115" i="4"/>
  <c r="T117" i="4"/>
  <c r="W117" i="4"/>
  <c r="W119" i="4"/>
  <c r="T119" i="4"/>
  <c r="W17" i="4"/>
  <c r="T17" i="4"/>
  <c r="T11" i="4"/>
  <c r="W11" i="4"/>
  <c r="W39" i="4"/>
  <c r="T39" i="4"/>
  <c r="W40" i="4"/>
  <c r="T40" i="4"/>
  <c r="W35" i="4"/>
  <c r="T35" i="4"/>
  <c r="W24" i="4"/>
  <c r="T24" i="4"/>
  <c r="T19" i="4"/>
  <c r="W19" i="4"/>
  <c r="W38" i="4"/>
  <c r="T38" i="4"/>
  <c r="T43" i="4"/>
  <c r="W43" i="4"/>
  <c r="W66" i="4"/>
  <c r="T66" i="4"/>
  <c r="W74" i="4"/>
  <c r="T74" i="4"/>
  <c r="T80" i="4"/>
  <c r="W80" i="4"/>
  <c r="T45" i="4"/>
  <c r="W45" i="4"/>
  <c r="T92" i="4"/>
  <c r="W92" i="4"/>
  <c r="T99" i="4"/>
  <c r="W99" i="4"/>
  <c r="T105" i="4"/>
  <c r="W105" i="4"/>
  <c r="T61" i="4"/>
  <c r="W61" i="4"/>
  <c r="T55" i="4"/>
  <c r="W55" i="4"/>
  <c r="W67" i="4"/>
  <c r="T67" i="4"/>
  <c r="W75" i="4"/>
  <c r="T75" i="4"/>
  <c r="T79" i="4"/>
  <c r="W79" i="4"/>
  <c r="T84" i="4"/>
  <c r="W84" i="4"/>
  <c r="T90" i="4"/>
  <c r="W90" i="4"/>
  <c r="T97" i="4"/>
  <c r="W97" i="4"/>
  <c r="T103" i="4"/>
  <c r="W103" i="4"/>
  <c r="T111" i="4"/>
  <c r="W111" i="4"/>
  <c r="T49" i="4"/>
  <c r="W49" i="4"/>
  <c r="T9" i="4"/>
  <c r="W9" i="4"/>
  <c r="T22" i="4"/>
  <c r="W22" i="4"/>
  <c r="W10" i="4"/>
  <c r="T10" i="4"/>
  <c r="T36" i="4"/>
  <c r="W36" i="4"/>
  <c r="W42" i="4"/>
  <c r="T42" i="4"/>
  <c r="W65" i="4"/>
  <c r="T65" i="4"/>
  <c r="W73" i="4"/>
  <c r="T73" i="4"/>
  <c r="W37" i="4"/>
  <c r="T37" i="4"/>
  <c r="T12" i="4"/>
  <c r="W12" i="4"/>
  <c r="T25" i="4"/>
  <c r="W25" i="4"/>
  <c r="T27" i="4"/>
  <c r="W27" i="4"/>
  <c r="T47" i="4"/>
  <c r="W47" i="4"/>
  <c r="T57" i="4"/>
  <c r="W57" i="4"/>
  <c r="T68" i="4"/>
  <c r="W68" i="4"/>
  <c r="W50" i="4"/>
  <c r="T50" i="4"/>
  <c r="W78" i="4"/>
  <c r="T78" i="4"/>
  <c r="T56" i="4"/>
  <c r="W56" i="4"/>
  <c r="W83" i="4"/>
  <c r="T83" i="4"/>
  <c r="T85" i="4"/>
  <c r="W85" i="4"/>
  <c r="W89" i="4"/>
  <c r="T89" i="4"/>
  <c r="T93" i="4"/>
  <c r="W93" i="4"/>
  <c r="W32" i="4"/>
  <c r="T32" i="4"/>
  <c r="W33" i="4"/>
  <c r="T33" i="4"/>
  <c r="W102" i="4"/>
  <c r="T102" i="4"/>
  <c r="T106" i="4"/>
  <c r="W106" i="4"/>
  <c r="W110" i="4"/>
  <c r="T110" i="4"/>
  <c r="T113" i="4"/>
  <c r="W113" i="4"/>
  <c r="W59" i="4"/>
  <c r="T59" i="4"/>
  <c r="W118" i="4"/>
  <c r="T118" i="4"/>
  <c r="W120" i="4"/>
  <c r="T120" i="4"/>
  <c r="W34" i="4"/>
  <c r="T34" i="4"/>
  <c r="T26" i="4"/>
  <c r="W26" i="4"/>
  <c r="T23" i="4"/>
  <c r="W23" i="4"/>
  <c r="T13" i="4"/>
  <c r="W13" i="4"/>
  <c r="T53" i="4"/>
  <c r="W53" i="4"/>
  <c r="T30" i="4"/>
  <c r="W30" i="4"/>
  <c r="T28" i="4"/>
  <c r="W28" i="4"/>
  <c r="T18" i="4"/>
  <c r="W18" i="4"/>
  <c r="T52" i="4"/>
  <c r="W52" i="4"/>
  <c r="T62" i="4"/>
  <c r="W62" i="4"/>
  <c r="T70" i="4"/>
  <c r="W70" i="4"/>
  <c r="T46" i="4"/>
  <c r="W46" i="4"/>
  <c r="T41" i="4"/>
  <c r="W41" i="4"/>
  <c r="T88" i="4"/>
  <c r="W88" i="4"/>
  <c r="T96" i="4"/>
  <c r="W96" i="4"/>
  <c r="T101" i="4"/>
  <c r="W101" i="4"/>
  <c r="T109" i="4"/>
  <c r="W109" i="4"/>
  <c r="T116" i="4"/>
  <c r="W116" i="4"/>
  <c r="W63" i="4"/>
  <c r="T63" i="4"/>
  <c r="W71" i="4"/>
  <c r="T71" i="4"/>
  <c r="T76" i="4"/>
  <c r="W76" i="4"/>
  <c r="T81" i="4"/>
  <c r="W81" i="4"/>
  <c r="T86" i="4"/>
  <c r="W86" i="4"/>
  <c r="T94" i="4"/>
  <c r="W94" i="4"/>
  <c r="T100" i="4"/>
  <c r="W100" i="4"/>
  <c r="T107" i="4"/>
  <c r="W107" i="4"/>
  <c r="T114" i="4"/>
  <c r="W114" i="4"/>
  <c r="AE9" i="11"/>
  <c r="AE8" i="12"/>
  <c r="AD8" i="12" s="1"/>
  <c r="AG20" i="11"/>
  <c r="AE18" i="11"/>
  <c r="AD18" i="11" s="1"/>
  <c r="AG13" i="10"/>
  <c r="AD13" i="10" s="1"/>
  <c r="AG16" i="10"/>
  <c r="AG19" i="11"/>
  <c r="AE14" i="7"/>
  <c r="AE16" i="11"/>
  <c r="AG15" i="10"/>
  <c r="AG10" i="11"/>
  <c r="AG7" i="8"/>
  <c r="AG14" i="11"/>
  <c r="AD14" i="11" s="1"/>
  <c r="AE20" i="10"/>
  <c r="AE20" i="11"/>
  <c r="AD20" i="11" s="1"/>
  <c r="AD15" i="11"/>
  <c r="AD10" i="11"/>
  <c r="AE17" i="10"/>
  <c r="AG13" i="11"/>
  <c r="AD13" i="11" s="1"/>
  <c r="AG9" i="10"/>
  <c r="AG8" i="11"/>
  <c r="AD8" i="11" s="1"/>
  <c r="AG14" i="7"/>
  <c r="AD14" i="7" s="1"/>
  <c r="AG16" i="11"/>
  <c r="AG15" i="7"/>
  <c r="AG9" i="11"/>
  <c r="AD9" i="11" s="1"/>
  <c r="AD17" i="11"/>
  <c r="AE16" i="10"/>
  <c r="AE19" i="11"/>
  <c r="AE7" i="7"/>
  <c r="AE7" i="11"/>
  <c r="AD7" i="11" s="1"/>
  <c r="AE11" i="10"/>
  <c r="AE12" i="11"/>
  <c r="AD12" i="11" s="1"/>
  <c r="AF15" i="9"/>
  <c r="AD15" i="9" s="1"/>
  <c r="AE9" i="10"/>
  <c r="AD9" i="10" s="1"/>
  <c r="AE15" i="8"/>
  <c r="AE15" i="10"/>
  <c r="AD15" i="10" s="1"/>
  <c r="AF7" i="9"/>
  <c r="AD7" i="9" s="1"/>
  <c r="AG14" i="10"/>
  <c r="AG17" i="7"/>
  <c r="AG7" i="10"/>
  <c r="AD7" i="10" s="1"/>
  <c r="AF25" i="9"/>
  <c r="AD25" i="9" s="1"/>
  <c r="AE14" i="10"/>
  <c r="AD14" i="10" s="1"/>
  <c r="AF26" i="9"/>
  <c r="AD26" i="9" s="1"/>
  <c r="AG12" i="10"/>
  <c r="AF11" i="9"/>
  <c r="AD11" i="9" s="1"/>
  <c r="AE18" i="10"/>
  <c r="AD18" i="10" s="1"/>
  <c r="AD19" i="10"/>
  <c r="AD17" i="10"/>
  <c r="AF14" i="9"/>
  <c r="AD14" i="9" s="1"/>
  <c r="AE12" i="10"/>
  <c r="AD8" i="10"/>
  <c r="AG21" i="8"/>
  <c r="AD21" i="8" s="1"/>
  <c r="AG11" i="10"/>
  <c r="AD11" i="10" s="1"/>
  <c r="AD20" i="10"/>
  <c r="AE17" i="7"/>
  <c r="AD17" i="7" s="1"/>
  <c r="AF12" i="9"/>
  <c r="AD12" i="9" s="1"/>
  <c r="AE10" i="8"/>
  <c r="AF18" i="9"/>
  <c r="AD18" i="9" s="1"/>
  <c r="AG10" i="7"/>
  <c r="AF8" i="9"/>
  <c r="AD8" i="9" s="1"/>
  <c r="AE20" i="7"/>
  <c r="AF23" i="9"/>
  <c r="AD23" i="9" s="1"/>
  <c r="AE20" i="8"/>
  <c r="AF19" i="9"/>
  <c r="AD19" i="9" s="1"/>
  <c r="AG20" i="8"/>
  <c r="AD20" i="8" s="1"/>
  <c r="AF21" i="9"/>
  <c r="AD21" i="9" s="1"/>
  <c r="AE21" i="7"/>
  <c r="AG21" i="7"/>
  <c r="AI7" i="8"/>
  <c r="AG7" i="5"/>
  <c r="AG10" i="8"/>
  <c r="AG8" i="8"/>
  <c r="AE14" i="8"/>
  <c r="AD14" i="8" s="1"/>
  <c r="AE19" i="8"/>
  <c r="AE9" i="7"/>
  <c r="AE7" i="8"/>
  <c r="AG18" i="7"/>
  <c r="AG17" i="8"/>
  <c r="AG12" i="7"/>
  <c r="AG18" i="8"/>
  <c r="AG7" i="7"/>
  <c r="AG13" i="8"/>
  <c r="AG11" i="7"/>
  <c r="AG16" i="8"/>
  <c r="AE13" i="7"/>
  <c r="AE9" i="8"/>
  <c r="AE12" i="7"/>
  <c r="AD12" i="7" s="1"/>
  <c r="AE12" i="8"/>
  <c r="AE10" i="7"/>
  <c r="AE8" i="8"/>
  <c r="AD8" i="8" s="1"/>
  <c r="AG19" i="7"/>
  <c r="AG19" i="8"/>
  <c r="AE15" i="7"/>
  <c r="AG15" i="8"/>
  <c r="AD15" i="8" s="1"/>
  <c r="AG9" i="7"/>
  <c r="AK7" i="8"/>
  <c r="AG8" i="7"/>
  <c r="AG11" i="8"/>
  <c r="AE11" i="7"/>
  <c r="AD11" i="7" s="1"/>
  <c r="AE16" i="8"/>
  <c r="AE8" i="7"/>
  <c r="AE11" i="8"/>
  <c r="AG20" i="7"/>
  <c r="AE13" i="8"/>
  <c r="AE19" i="7"/>
  <c r="AD19" i="7" s="1"/>
  <c r="AE18" i="8"/>
  <c r="AG13" i="7"/>
  <c r="AD13" i="7" s="1"/>
  <c r="AG9" i="8"/>
  <c r="AD15" i="7"/>
  <c r="AE18" i="7"/>
  <c r="AE17" i="8"/>
  <c r="AG16" i="7"/>
  <c r="AD16" i="7" s="1"/>
  <c r="AG12" i="8"/>
  <c r="AD19" i="8"/>
  <c r="I5" i="2"/>
  <c r="Z122" i="4"/>
  <c r="AE15" i="5"/>
  <c r="AG18" i="5"/>
  <c r="AG13" i="5"/>
  <c r="AG16" i="5"/>
  <c r="AG10" i="5"/>
  <c r="AG8" i="5"/>
  <c r="AE9" i="5"/>
  <c r="AE12" i="5"/>
  <c r="AE8" i="5"/>
  <c r="AG19" i="5"/>
  <c r="AG15" i="5"/>
  <c r="AK7" i="5"/>
  <c r="AG11" i="5"/>
  <c r="AE14" i="5"/>
  <c r="AE16" i="5"/>
  <c r="AE7" i="5"/>
  <c r="I7" i="4"/>
  <c r="G7" i="4"/>
  <c r="W7" i="4"/>
  <c r="T7" i="4"/>
  <c r="AG17" i="5"/>
  <c r="AE11" i="5"/>
  <c r="AE13" i="5"/>
  <c r="AD13" i="5" s="1"/>
  <c r="AI7" i="5"/>
  <c r="AE18" i="5"/>
  <c r="AG9" i="5"/>
  <c r="AE10" i="5"/>
  <c r="AE17" i="5"/>
  <c r="AG14" i="5"/>
  <c r="AG12" i="5"/>
  <c r="AE19" i="5"/>
  <c r="J104" i="1"/>
  <c r="AD20" i="7" l="1"/>
  <c r="AD10" i="7"/>
  <c r="AD7" i="7"/>
  <c r="AD10" i="8"/>
  <c r="AD8" i="7"/>
  <c r="AD19" i="5"/>
  <c r="AD18" i="5"/>
  <c r="AD16" i="5"/>
  <c r="AD18" i="7"/>
  <c r="AD17" i="5"/>
  <c r="U9" i="4"/>
  <c r="U116" i="4"/>
  <c r="U96" i="4"/>
  <c r="U41" i="4"/>
  <c r="U53" i="4"/>
  <c r="U29" i="4"/>
  <c r="U114" i="4"/>
  <c r="U100" i="4"/>
  <c r="U84" i="4"/>
  <c r="U55" i="4"/>
  <c r="U109" i="4"/>
  <c r="U105" i="4"/>
  <c r="U92" i="4"/>
  <c r="U80" i="4"/>
  <c r="U13" i="4"/>
  <c r="U12" i="4"/>
  <c r="U111" i="4"/>
  <c r="U97" i="4"/>
  <c r="U86" i="4"/>
  <c r="U76" i="4"/>
  <c r="U119" i="4"/>
  <c r="U115" i="4"/>
  <c r="U108" i="4"/>
  <c r="U60" i="4"/>
  <c r="U95" i="4"/>
  <c r="U87" i="4"/>
  <c r="U82" i="4"/>
  <c r="U77" i="4"/>
  <c r="U38" i="4"/>
  <c r="U42" i="4"/>
  <c r="U27" i="4"/>
  <c r="U25" i="4"/>
  <c r="U15" i="4"/>
  <c r="U10" i="4"/>
  <c r="U22" i="4"/>
  <c r="U59" i="4"/>
  <c r="U110" i="4"/>
  <c r="U102" i="4"/>
  <c r="U32" i="4"/>
  <c r="U89" i="4"/>
  <c r="U83" i="4"/>
  <c r="U78" i="4"/>
  <c r="U50" i="4"/>
  <c r="U57" i="4"/>
  <c r="U47" i="4"/>
  <c r="U104" i="4"/>
  <c r="U98" i="4"/>
  <c r="U91" i="4"/>
  <c r="U54" i="4"/>
  <c r="U58" i="4"/>
  <c r="U19" i="4"/>
  <c r="U69" i="4"/>
  <c r="U44" i="4"/>
  <c r="U51" i="4"/>
  <c r="U20" i="4"/>
  <c r="U18" i="4"/>
  <c r="U34" i="4"/>
  <c r="U113" i="4"/>
  <c r="U106" i="4"/>
  <c r="U33" i="4"/>
  <c r="U93" i="4"/>
  <c r="U85" i="4"/>
  <c r="U56" i="4"/>
  <c r="U68" i="4"/>
  <c r="U101" i="4"/>
  <c r="U88" i="4"/>
  <c r="U46" i="4"/>
  <c r="U70" i="4"/>
  <c r="U62" i="4"/>
  <c r="U14" i="4"/>
  <c r="U107" i="4"/>
  <c r="U90" i="4"/>
  <c r="U79" i="4"/>
  <c r="U61" i="4"/>
  <c r="U99" i="4"/>
  <c r="U45" i="4"/>
  <c r="U43" i="4"/>
  <c r="U30" i="4"/>
  <c r="U49" i="4"/>
  <c r="U103" i="4"/>
  <c r="U94" i="4"/>
  <c r="U81" i="4"/>
  <c r="U112" i="4"/>
  <c r="U52" i="4"/>
  <c r="U21" i="4"/>
  <c r="U8" i="4"/>
  <c r="U117" i="4"/>
  <c r="U73" i="4"/>
  <c r="U65" i="4"/>
  <c r="U23" i="4"/>
  <c r="U36" i="4"/>
  <c r="U28" i="4"/>
  <c r="U72" i="4"/>
  <c r="U64" i="4"/>
  <c r="U48" i="4"/>
  <c r="U26" i="4"/>
  <c r="U67" i="4"/>
  <c r="U16" i="4"/>
  <c r="U11" i="4"/>
  <c r="U74" i="4"/>
  <c r="U35" i="4"/>
  <c r="U63" i="4"/>
  <c r="U24" i="4"/>
  <c r="U40" i="4"/>
  <c r="U118" i="4"/>
  <c r="U75" i="4"/>
  <c r="U66" i="4"/>
  <c r="U31" i="4"/>
  <c r="U71" i="4"/>
  <c r="U17" i="4"/>
  <c r="U39" i="4"/>
  <c r="U37" i="4"/>
  <c r="U120" i="4"/>
  <c r="X74" i="4"/>
  <c r="X66" i="4"/>
  <c r="X40" i="4"/>
  <c r="X75" i="4"/>
  <c r="X35" i="4"/>
  <c r="X10" i="4"/>
  <c r="X63" i="4"/>
  <c r="X73" i="4"/>
  <c r="X65" i="4"/>
  <c r="X36" i="4"/>
  <c r="X9" i="4"/>
  <c r="X68" i="4"/>
  <c r="X119" i="4"/>
  <c r="X115" i="4"/>
  <c r="X52" i="4"/>
  <c r="X21" i="4"/>
  <c r="X15" i="4"/>
  <c r="X8" i="4"/>
  <c r="X50" i="4"/>
  <c r="X57" i="4"/>
  <c r="X47" i="4"/>
  <c r="X24" i="4"/>
  <c r="X31" i="4"/>
  <c r="X67" i="4"/>
  <c r="X16" i="4"/>
  <c r="X39" i="4"/>
  <c r="X37" i="4"/>
  <c r="X71" i="4"/>
  <c r="X117" i="4"/>
  <c r="X112" i="4"/>
  <c r="X104" i="4"/>
  <c r="X98" i="4"/>
  <c r="X91" i="4"/>
  <c r="X54" i="4"/>
  <c r="X58" i="4"/>
  <c r="X19" i="4"/>
  <c r="X69" i="4"/>
  <c r="X44" i="4"/>
  <c r="X51" i="4"/>
  <c r="X23" i="4"/>
  <c r="X20" i="4"/>
  <c r="X18" i="4"/>
  <c r="X28" i="4"/>
  <c r="X34" i="4"/>
  <c r="X113" i="4"/>
  <c r="X106" i="4"/>
  <c r="X33" i="4"/>
  <c r="X93" i="4"/>
  <c r="X85" i="4"/>
  <c r="X56" i="4"/>
  <c r="X72" i="4"/>
  <c r="X64" i="4"/>
  <c r="X48" i="4"/>
  <c r="X108" i="4"/>
  <c r="X60" i="4"/>
  <c r="X95" i="4"/>
  <c r="X87" i="4"/>
  <c r="X82" i="4"/>
  <c r="X77" i="4"/>
  <c r="X38" i="4"/>
  <c r="X42" i="4"/>
  <c r="X27" i="4"/>
  <c r="X25" i="4"/>
  <c r="X22" i="4"/>
  <c r="X59" i="4"/>
  <c r="X110" i="4"/>
  <c r="X102" i="4"/>
  <c r="X32" i="4"/>
  <c r="X89" i="4"/>
  <c r="X83" i="4"/>
  <c r="X78" i="4"/>
  <c r="X76" i="4"/>
  <c r="X81" i="4"/>
  <c r="X86" i="4"/>
  <c r="X94" i="4"/>
  <c r="X100" i="4"/>
  <c r="X107" i="4"/>
  <c r="X114" i="4"/>
  <c r="X43" i="4"/>
  <c r="X29" i="4"/>
  <c r="X120" i="4"/>
  <c r="X46" i="4"/>
  <c r="X41" i="4"/>
  <c r="X88" i="4"/>
  <c r="X96" i="4"/>
  <c r="X101" i="4"/>
  <c r="X109" i="4"/>
  <c r="X116" i="4"/>
  <c r="X11" i="4"/>
  <c r="X70" i="4"/>
  <c r="X53" i="4"/>
  <c r="X55" i="4"/>
  <c r="X79" i="4"/>
  <c r="X84" i="4"/>
  <c r="X90" i="4"/>
  <c r="X97" i="4"/>
  <c r="X103" i="4"/>
  <c r="X111" i="4"/>
  <c r="X49" i="4"/>
  <c r="X17" i="4"/>
  <c r="X13" i="4"/>
  <c r="X12" i="4"/>
  <c r="X118" i="4"/>
  <c r="X26" i="4"/>
  <c r="X80" i="4"/>
  <c r="X45" i="4"/>
  <c r="X92" i="4"/>
  <c r="X99" i="4"/>
  <c r="X105" i="4"/>
  <c r="X61" i="4"/>
  <c r="X62" i="4"/>
  <c r="X14" i="4"/>
  <c r="X30" i="4"/>
  <c r="AD16" i="10"/>
  <c r="AD21" i="7"/>
  <c r="AD19" i="11"/>
  <c r="AD12" i="10"/>
  <c r="AD16" i="11"/>
  <c r="AD17" i="8"/>
  <c r="AD18" i="8"/>
  <c r="AD8" i="5"/>
  <c r="AD13" i="8"/>
  <c r="AD16" i="8"/>
  <c r="AD11" i="8"/>
  <c r="AD7" i="8"/>
  <c r="AD12" i="8"/>
  <c r="AD9" i="8"/>
  <c r="AD9" i="7"/>
  <c r="X7" i="4"/>
  <c r="AD14" i="5"/>
  <c r="AD11" i="5"/>
  <c r="AD7" i="5"/>
  <c r="AD12" i="5"/>
  <c r="AD10" i="5"/>
  <c r="U7" i="4"/>
  <c r="AD9" i="5"/>
  <c r="AD15" i="5"/>
  <c r="K48" i="1"/>
  <c r="K61" i="4" l="1"/>
  <c r="AL61" i="4" s="1"/>
  <c r="K49" i="4"/>
  <c r="AL49" i="4" s="1"/>
  <c r="K44" i="4"/>
  <c r="AL44" i="4" s="1"/>
  <c r="K45" i="4"/>
  <c r="AL45" i="4" s="1"/>
  <c r="K60" i="4"/>
  <c r="AL60" i="4" s="1"/>
  <c r="K46" i="4"/>
  <c r="AL46" i="4" s="1"/>
  <c r="K33" i="4"/>
  <c r="K58" i="4"/>
  <c r="K59" i="4"/>
  <c r="K41" i="4"/>
  <c r="Y62" i="4"/>
  <c r="Y92" i="4"/>
  <c r="Y118" i="4"/>
  <c r="Y13" i="4"/>
  <c r="Y49" i="4"/>
  <c r="Y103" i="4"/>
  <c r="Y90" i="4"/>
  <c r="Y79" i="4"/>
  <c r="Y53" i="4"/>
  <c r="Y11" i="4"/>
  <c r="Y109" i="4"/>
  <c r="Y96" i="4"/>
  <c r="Y41" i="4"/>
  <c r="Y120" i="4"/>
  <c r="Y43" i="4"/>
  <c r="Y107" i="4"/>
  <c r="Y94" i="4"/>
  <c r="Y81" i="4"/>
  <c r="Y78" i="4"/>
  <c r="Y89" i="4"/>
  <c r="Y102" i="4"/>
  <c r="Y59" i="4"/>
  <c r="Y25" i="4"/>
  <c r="Y42" i="4"/>
  <c r="Y77" i="4"/>
  <c r="Y87" i="4"/>
  <c r="Y60" i="4"/>
  <c r="Y48" i="4"/>
  <c r="Y72" i="4"/>
  <c r="Y85" i="4"/>
  <c r="Y33" i="4"/>
  <c r="Y113" i="4"/>
  <c r="Y28" i="4"/>
  <c r="Y20" i="4"/>
  <c r="Y51" i="4"/>
  <c r="Y69" i="4"/>
  <c r="Y58" i="4"/>
  <c r="Y91" i="4"/>
  <c r="Y104" i="4"/>
  <c r="Y117" i="4"/>
  <c r="Y37" i="4"/>
  <c r="Y16" i="4"/>
  <c r="Y31" i="4"/>
  <c r="Y47" i="4"/>
  <c r="Y50" i="4"/>
  <c r="Y15" i="4"/>
  <c r="Y52" i="4"/>
  <c r="Y119" i="4"/>
  <c r="Y9" i="4"/>
  <c r="Y65" i="4"/>
  <c r="Y63" i="4"/>
  <c r="Y35" i="4"/>
  <c r="Y40" i="4"/>
  <c r="Y74" i="4"/>
  <c r="B37" i="4"/>
  <c r="H37" i="4"/>
  <c r="J37" i="4"/>
  <c r="F37" i="4"/>
  <c r="D37" i="4"/>
  <c r="K37" i="4"/>
  <c r="AJ37" i="4" s="1"/>
  <c r="F17" i="4"/>
  <c r="H17" i="4"/>
  <c r="J17" i="4"/>
  <c r="B17" i="4"/>
  <c r="D17" i="4"/>
  <c r="K17" i="4"/>
  <c r="B31" i="4"/>
  <c r="D31" i="4"/>
  <c r="F31" i="4"/>
  <c r="J31" i="4"/>
  <c r="H31" i="4"/>
  <c r="K31" i="4"/>
  <c r="B75" i="4"/>
  <c r="F75" i="4"/>
  <c r="J75" i="4"/>
  <c r="D75" i="4"/>
  <c r="H75" i="4"/>
  <c r="D40" i="4"/>
  <c r="B40" i="4"/>
  <c r="H40" i="4"/>
  <c r="F40" i="4"/>
  <c r="J40" i="4"/>
  <c r="K40" i="4"/>
  <c r="AL40" i="4" s="1"/>
  <c r="B63" i="4"/>
  <c r="F63" i="4"/>
  <c r="J63" i="4"/>
  <c r="D63" i="4"/>
  <c r="H63" i="4"/>
  <c r="B74" i="4"/>
  <c r="D74" i="4"/>
  <c r="F74" i="4"/>
  <c r="H74" i="4"/>
  <c r="J74" i="4"/>
  <c r="F16" i="4"/>
  <c r="H16" i="4"/>
  <c r="J16" i="4"/>
  <c r="B16" i="4"/>
  <c r="D16" i="4"/>
  <c r="K16" i="4"/>
  <c r="AJ16" i="4" s="1"/>
  <c r="H26" i="4"/>
  <c r="J26" i="4"/>
  <c r="B26" i="4"/>
  <c r="D26" i="4"/>
  <c r="F26" i="4"/>
  <c r="K26" i="4"/>
  <c r="AJ26" i="4" s="1"/>
  <c r="B64" i="4"/>
  <c r="D64" i="4"/>
  <c r="F64" i="4"/>
  <c r="H64" i="4"/>
  <c r="J64" i="4"/>
  <c r="B28" i="4"/>
  <c r="D28" i="4"/>
  <c r="F28" i="4"/>
  <c r="H28" i="4"/>
  <c r="J28" i="4"/>
  <c r="K28" i="4"/>
  <c r="AJ28" i="4" s="1"/>
  <c r="B23" i="4"/>
  <c r="F23" i="4"/>
  <c r="H23" i="4"/>
  <c r="J23" i="4"/>
  <c r="D23" i="4"/>
  <c r="K23" i="4"/>
  <c r="AJ23" i="4" s="1"/>
  <c r="D73" i="4"/>
  <c r="H73" i="4"/>
  <c r="B73" i="4"/>
  <c r="F73" i="4"/>
  <c r="J73" i="4"/>
  <c r="F8" i="4"/>
  <c r="H8" i="4"/>
  <c r="J8" i="4"/>
  <c r="D8" i="4"/>
  <c r="B8" i="4"/>
  <c r="K8" i="4"/>
  <c r="AJ8" i="4" s="1"/>
  <c r="F52" i="4"/>
  <c r="H52" i="4"/>
  <c r="J52" i="4"/>
  <c r="D52" i="4"/>
  <c r="B52" i="4"/>
  <c r="K52" i="4"/>
  <c r="AL52" i="4" s="1"/>
  <c r="D81" i="4"/>
  <c r="H81" i="4"/>
  <c r="B81" i="4"/>
  <c r="F81" i="4"/>
  <c r="J81" i="4"/>
  <c r="D103" i="4"/>
  <c r="H103" i="4"/>
  <c r="B103" i="4"/>
  <c r="F103" i="4"/>
  <c r="J103" i="4"/>
  <c r="B30" i="4"/>
  <c r="D30" i="4"/>
  <c r="F30" i="4"/>
  <c r="J30" i="4"/>
  <c r="H30" i="4"/>
  <c r="K30" i="4"/>
  <c r="AJ30" i="4" s="1"/>
  <c r="B45" i="4"/>
  <c r="F45" i="4"/>
  <c r="J45" i="4"/>
  <c r="D45" i="4"/>
  <c r="H45" i="4"/>
  <c r="B61" i="4"/>
  <c r="F61" i="4"/>
  <c r="J61" i="4"/>
  <c r="D61" i="4"/>
  <c r="H61" i="4"/>
  <c r="D90" i="4"/>
  <c r="H90" i="4"/>
  <c r="B90" i="4"/>
  <c r="F90" i="4"/>
  <c r="J90" i="4"/>
  <c r="B14" i="4"/>
  <c r="F14" i="4"/>
  <c r="H14" i="4"/>
  <c r="J14" i="4"/>
  <c r="D14" i="4"/>
  <c r="K14" i="4"/>
  <c r="AJ14" i="4" s="1"/>
  <c r="B70" i="4"/>
  <c r="D70" i="4"/>
  <c r="F70" i="4"/>
  <c r="H70" i="4"/>
  <c r="J70" i="4"/>
  <c r="B88" i="4"/>
  <c r="F88" i="4"/>
  <c r="J88" i="4"/>
  <c r="D88" i="4"/>
  <c r="H88" i="4"/>
  <c r="B68" i="4"/>
  <c r="D68" i="4"/>
  <c r="F68" i="4"/>
  <c r="H68" i="4"/>
  <c r="J68" i="4"/>
  <c r="B85" i="4"/>
  <c r="D85" i="4"/>
  <c r="F85" i="4"/>
  <c r="H85" i="4"/>
  <c r="J85" i="4"/>
  <c r="B33" i="4"/>
  <c r="D33" i="4"/>
  <c r="F33" i="4"/>
  <c r="H33" i="4"/>
  <c r="J33" i="4"/>
  <c r="B113" i="4"/>
  <c r="D113" i="4"/>
  <c r="F113" i="4"/>
  <c r="H113" i="4"/>
  <c r="J113" i="4"/>
  <c r="F18" i="4"/>
  <c r="H18" i="4"/>
  <c r="J18" i="4"/>
  <c r="B18" i="4"/>
  <c r="D18" i="4"/>
  <c r="K18" i="4"/>
  <c r="F51" i="4"/>
  <c r="H51" i="4"/>
  <c r="J51" i="4"/>
  <c r="B51" i="4"/>
  <c r="D51" i="4"/>
  <c r="K51" i="4"/>
  <c r="AL51" i="4" s="1"/>
  <c r="D69" i="4"/>
  <c r="H69" i="4"/>
  <c r="B69" i="4"/>
  <c r="F69" i="4"/>
  <c r="J69" i="4"/>
  <c r="B58" i="4"/>
  <c r="D58" i="4"/>
  <c r="F58" i="4"/>
  <c r="H58" i="4"/>
  <c r="J58" i="4"/>
  <c r="B91" i="4"/>
  <c r="D91" i="4"/>
  <c r="F91" i="4"/>
  <c r="H91" i="4"/>
  <c r="J91" i="4"/>
  <c r="B104" i="4"/>
  <c r="D104" i="4"/>
  <c r="F104" i="4"/>
  <c r="H104" i="4"/>
  <c r="J104" i="4"/>
  <c r="F57" i="4"/>
  <c r="H57" i="4"/>
  <c r="J57" i="4"/>
  <c r="B57" i="4"/>
  <c r="D57" i="4"/>
  <c r="K57" i="4"/>
  <c r="AL57" i="4" s="1"/>
  <c r="B78" i="4"/>
  <c r="D78" i="4"/>
  <c r="F78" i="4"/>
  <c r="H78" i="4"/>
  <c r="J78" i="4"/>
  <c r="B89" i="4"/>
  <c r="D89" i="4"/>
  <c r="F89" i="4"/>
  <c r="H89" i="4"/>
  <c r="J89" i="4"/>
  <c r="B102" i="4"/>
  <c r="D102" i="4"/>
  <c r="F102" i="4"/>
  <c r="H102" i="4"/>
  <c r="J102" i="4"/>
  <c r="B59" i="4"/>
  <c r="D59" i="4"/>
  <c r="F59" i="4"/>
  <c r="H59" i="4"/>
  <c r="J59" i="4"/>
  <c r="B10" i="4"/>
  <c r="F10" i="4"/>
  <c r="H10" i="4"/>
  <c r="J10" i="4"/>
  <c r="D10" i="4"/>
  <c r="K10" i="4"/>
  <c r="AJ10" i="4" s="1"/>
  <c r="B25" i="4"/>
  <c r="F25" i="4"/>
  <c r="H25" i="4"/>
  <c r="J25" i="4"/>
  <c r="D25" i="4"/>
  <c r="K25" i="4"/>
  <c r="F42" i="4"/>
  <c r="H42" i="4"/>
  <c r="J42" i="4"/>
  <c r="D42" i="4"/>
  <c r="B42" i="4"/>
  <c r="K42" i="4"/>
  <c r="AJ42" i="4" s="1"/>
  <c r="B77" i="4"/>
  <c r="D77" i="4"/>
  <c r="F77" i="4"/>
  <c r="H77" i="4"/>
  <c r="J77" i="4"/>
  <c r="B87" i="4"/>
  <c r="D87" i="4"/>
  <c r="F87" i="4"/>
  <c r="H87" i="4"/>
  <c r="J87" i="4"/>
  <c r="B60" i="4"/>
  <c r="D60" i="4"/>
  <c r="F60" i="4"/>
  <c r="H60" i="4"/>
  <c r="J60" i="4"/>
  <c r="B115" i="4"/>
  <c r="D115" i="4"/>
  <c r="F115" i="4"/>
  <c r="H115" i="4"/>
  <c r="J115" i="4"/>
  <c r="D76" i="4"/>
  <c r="H76" i="4"/>
  <c r="B76" i="4"/>
  <c r="F76" i="4"/>
  <c r="J76" i="4"/>
  <c r="D97" i="4"/>
  <c r="H97" i="4"/>
  <c r="B97" i="4"/>
  <c r="F97" i="4"/>
  <c r="J97" i="4"/>
  <c r="F12" i="4"/>
  <c r="H12" i="4"/>
  <c r="J12" i="4"/>
  <c r="D12" i="4"/>
  <c r="B12" i="4"/>
  <c r="K12" i="4"/>
  <c r="AJ12" i="4" s="1"/>
  <c r="B80" i="4"/>
  <c r="F80" i="4"/>
  <c r="J80" i="4"/>
  <c r="D80" i="4"/>
  <c r="H80" i="4"/>
  <c r="B105" i="4"/>
  <c r="F105" i="4"/>
  <c r="J105" i="4"/>
  <c r="D105" i="4"/>
  <c r="H105" i="4"/>
  <c r="F55" i="4"/>
  <c r="H55" i="4"/>
  <c r="J55" i="4"/>
  <c r="D55" i="4"/>
  <c r="B55" i="4"/>
  <c r="K55" i="4"/>
  <c r="AL55" i="4" s="1"/>
  <c r="D100" i="4"/>
  <c r="H100" i="4"/>
  <c r="B100" i="4"/>
  <c r="F100" i="4"/>
  <c r="J100" i="4"/>
  <c r="B29" i="4"/>
  <c r="F29" i="4"/>
  <c r="H29" i="4"/>
  <c r="J29" i="4"/>
  <c r="D29" i="4"/>
  <c r="K29" i="4"/>
  <c r="AJ29" i="4" s="1"/>
  <c r="B41" i="4"/>
  <c r="F41" i="4"/>
  <c r="J41" i="4"/>
  <c r="D41" i="4"/>
  <c r="H41" i="4"/>
  <c r="B116" i="4"/>
  <c r="F116" i="4"/>
  <c r="J116" i="4"/>
  <c r="D116" i="4"/>
  <c r="H116" i="4"/>
  <c r="Y30" i="4"/>
  <c r="Y105" i="4"/>
  <c r="Y80" i="4"/>
  <c r="Y14" i="4"/>
  <c r="Y61" i="4"/>
  <c r="Y99" i="4"/>
  <c r="Y45" i="4"/>
  <c r="Y26" i="4"/>
  <c r="Y12" i="4"/>
  <c r="Y17" i="4"/>
  <c r="Y111" i="4"/>
  <c r="Y97" i="4"/>
  <c r="Y84" i="4"/>
  <c r="Y55" i="4"/>
  <c r="Y70" i="4"/>
  <c r="Y116" i="4"/>
  <c r="Y101" i="4"/>
  <c r="Y88" i="4"/>
  <c r="Y46" i="4"/>
  <c r="Y29" i="4"/>
  <c r="Y114" i="4"/>
  <c r="Y100" i="4"/>
  <c r="Y86" i="4"/>
  <c r="Y76" i="4"/>
  <c r="Y83" i="4"/>
  <c r="Y32" i="4"/>
  <c r="Y110" i="4"/>
  <c r="Y22" i="4"/>
  <c r="Y27" i="4"/>
  <c r="Y38" i="4"/>
  <c r="Y82" i="4"/>
  <c r="Y95" i="4"/>
  <c r="Y108" i="4"/>
  <c r="Y64" i="4"/>
  <c r="Y56" i="4"/>
  <c r="Y93" i="4"/>
  <c r="Y106" i="4"/>
  <c r="Y34" i="4"/>
  <c r="Y18" i="4"/>
  <c r="Y23" i="4"/>
  <c r="Y44" i="4"/>
  <c r="Y19" i="4"/>
  <c r="Y54" i="4"/>
  <c r="Y98" i="4"/>
  <c r="Y112" i="4"/>
  <c r="Y71" i="4"/>
  <c r="Y39" i="4"/>
  <c r="Y67" i="4"/>
  <c r="Y24" i="4"/>
  <c r="Y57" i="4"/>
  <c r="Y8" i="4"/>
  <c r="Y21" i="4"/>
  <c r="Y115" i="4"/>
  <c r="Y68" i="4"/>
  <c r="Y36" i="4"/>
  <c r="Y73" i="4"/>
  <c r="Y10" i="4"/>
  <c r="Y75" i="4"/>
  <c r="Y66" i="4"/>
  <c r="D120" i="4"/>
  <c r="H120" i="4"/>
  <c r="B120" i="4"/>
  <c r="F120" i="4"/>
  <c r="J120" i="4"/>
  <c r="D39" i="4"/>
  <c r="B39" i="4"/>
  <c r="H39" i="4"/>
  <c r="F39" i="4"/>
  <c r="J39" i="4"/>
  <c r="K39" i="4"/>
  <c r="AJ39" i="4" s="1"/>
  <c r="B71" i="4"/>
  <c r="F71" i="4"/>
  <c r="J71" i="4"/>
  <c r="D71" i="4"/>
  <c r="H71" i="4"/>
  <c r="B66" i="4"/>
  <c r="D66" i="4"/>
  <c r="F66" i="4"/>
  <c r="H66" i="4"/>
  <c r="J66" i="4"/>
  <c r="B118" i="4"/>
  <c r="F118" i="4"/>
  <c r="J118" i="4"/>
  <c r="D118" i="4"/>
  <c r="H118" i="4"/>
  <c r="B24" i="4"/>
  <c r="D24" i="4"/>
  <c r="H24" i="4"/>
  <c r="F24" i="4"/>
  <c r="J24" i="4"/>
  <c r="K24" i="4"/>
  <c r="AJ24" i="4" s="1"/>
  <c r="F35" i="4"/>
  <c r="H35" i="4"/>
  <c r="J35" i="4"/>
  <c r="B35" i="4"/>
  <c r="D35" i="4"/>
  <c r="K35" i="4"/>
  <c r="AJ35" i="4" s="1"/>
  <c r="H11" i="4"/>
  <c r="J11" i="4"/>
  <c r="B11" i="4"/>
  <c r="D11" i="4"/>
  <c r="F11" i="4"/>
  <c r="K11" i="4"/>
  <c r="AJ11" i="4" s="1"/>
  <c r="B67" i="4"/>
  <c r="F67" i="4"/>
  <c r="J67" i="4"/>
  <c r="D67" i="4"/>
  <c r="H67" i="4"/>
  <c r="F48" i="4"/>
  <c r="H48" i="4"/>
  <c r="J48" i="4"/>
  <c r="B48" i="4"/>
  <c r="D48" i="4"/>
  <c r="K48" i="4"/>
  <c r="B72" i="4"/>
  <c r="D72" i="4"/>
  <c r="F72" i="4"/>
  <c r="H72" i="4"/>
  <c r="J72" i="4"/>
  <c r="B36" i="4"/>
  <c r="D36" i="4"/>
  <c r="F36" i="4"/>
  <c r="J36" i="4"/>
  <c r="H36" i="4"/>
  <c r="K36" i="4"/>
  <c r="D65" i="4"/>
  <c r="H65" i="4"/>
  <c r="B65" i="4"/>
  <c r="F65" i="4"/>
  <c r="J65" i="4"/>
  <c r="B117" i="4"/>
  <c r="D117" i="4"/>
  <c r="F117" i="4"/>
  <c r="H117" i="4"/>
  <c r="J117" i="4"/>
  <c r="F21" i="4"/>
  <c r="H21" i="4"/>
  <c r="J21" i="4"/>
  <c r="B21" i="4"/>
  <c r="D21" i="4"/>
  <c r="K21" i="4"/>
  <c r="AJ21" i="4" s="1"/>
  <c r="B112" i="4"/>
  <c r="D112" i="4"/>
  <c r="F112" i="4"/>
  <c r="H112" i="4"/>
  <c r="J112" i="4"/>
  <c r="D94" i="4"/>
  <c r="H94" i="4"/>
  <c r="B94" i="4"/>
  <c r="F94" i="4"/>
  <c r="J94" i="4"/>
  <c r="D49" i="4"/>
  <c r="H49" i="4"/>
  <c r="B49" i="4"/>
  <c r="F49" i="4"/>
  <c r="J49" i="4"/>
  <c r="F43" i="4"/>
  <c r="H43" i="4"/>
  <c r="J43" i="4"/>
  <c r="B43" i="4"/>
  <c r="D43" i="4"/>
  <c r="K43" i="4"/>
  <c r="AL43" i="4" s="1"/>
  <c r="B99" i="4"/>
  <c r="F99" i="4"/>
  <c r="J99" i="4"/>
  <c r="D99" i="4"/>
  <c r="H99" i="4"/>
  <c r="D79" i="4"/>
  <c r="H79" i="4"/>
  <c r="B79" i="4"/>
  <c r="F79" i="4"/>
  <c r="J79" i="4"/>
  <c r="D107" i="4"/>
  <c r="H107" i="4"/>
  <c r="B107" i="4"/>
  <c r="F107" i="4"/>
  <c r="J107" i="4"/>
  <c r="B62" i="4"/>
  <c r="D62" i="4"/>
  <c r="F62" i="4"/>
  <c r="H62" i="4"/>
  <c r="J62" i="4"/>
  <c r="B46" i="4"/>
  <c r="F46" i="4"/>
  <c r="J46" i="4"/>
  <c r="D46" i="4"/>
  <c r="H46" i="4"/>
  <c r="B101" i="4"/>
  <c r="F101" i="4"/>
  <c r="J101" i="4"/>
  <c r="D101" i="4"/>
  <c r="H101" i="4"/>
  <c r="B56" i="4"/>
  <c r="D56" i="4"/>
  <c r="F56" i="4"/>
  <c r="H56" i="4"/>
  <c r="J56" i="4"/>
  <c r="K56" i="4"/>
  <c r="B93" i="4"/>
  <c r="D93" i="4"/>
  <c r="F93" i="4"/>
  <c r="H93" i="4"/>
  <c r="J93" i="4"/>
  <c r="B106" i="4"/>
  <c r="D106" i="4"/>
  <c r="F106" i="4"/>
  <c r="H106" i="4"/>
  <c r="J106" i="4"/>
  <c r="B34" i="4"/>
  <c r="D34" i="4"/>
  <c r="F34" i="4"/>
  <c r="H34" i="4"/>
  <c r="J34" i="4"/>
  <c r="K34" i="4"/>
  <c r="AJ34" i="4" s="1"/>
  <c r="B20" i="4"/>
  <c r="F20" i="4"/>
  <c r="H20" i="4"/>
  <c r="J20" i="4"/>
  <c r="D20" i="4"/>
  <c r="K20" i="4"/>
  <c r="AJ20" i="4" s="1"/>
  <c r="D44" i="4"/>
  <c r="H44" i="4"/>
  <c r="B44" i="4"/>
  <c r="F44" i="4"/>
  <c r="J44" i="4"/>
  <c r="B19" i="4"/>
  <c r="F19" i="4"/>
  <c r="H19" i="4"/>
  <c r="J19" i="4"/>
  <c r="D19" i="4"/>
  <c r="K19" i="4"/>
  <c r="B54" i="4"/>
  <c r="D54" i="4"/>
  <c r="F54" i="4"/>
  <c r="H54" i="4"/>
  <c r="J54" i="4"/>
  <c r="K54" i="4"/>
  <c r="B98" i="4"/>
  <c r="D98" i="4"/>
  <c r="F98" i="4"/>
  <c r="H98" i="4"/>
  <c r="J98" i="4"/>
  <c r="F47" i="4"/>
  <c r="H47" i="4"/>
  <c r="J47" i="4"/>
  <c r="D47" i="4"/>
  <c r="B47" i="4"/>
  <c r="K47" i="4"/>
  <c r="AJ47" i="4" s="1"/>
  <c r="B50" i="4"/>
  <c r="D50" i="4"/>
  <c r="F50" i="4"/>
  <c r="H50" i="4"/>
  <c r="J50" i="4"/>
  <c r="K50" i="4"/>
  <c r="AL50" i="4" s="1"/>
  <c r="B83" i="4"/>
  <c r="D83" i="4"/>
  <c r="F83" i="4"/>
  <c r="H83" i="4"/>
  <c r="J83" i="4"/>
  <c r="B32" i="4"/>
  <c r="D32" i="4"/>
  <c r="F32" i="4"/>
  <c r="H32" i="4"/>
  <c r="J32" i="4"/>
  <c r="K32" i="4"/>
  <c r="B110" i="4"/>
  <c r="D110" i="4"/>
  <c r="F110" i="4"/>
  <c r="H110" i="4"/>
  <c r="J110" i="4"/>
  <c r="B22" i="4"/>
  <c r="F22" i="4"/>
  <c r="H22" i="4"/>
  <c r="J22" i="4"/>
  <c r="D22" i="4"/>
  <c r="K22" i="4"/>
  <c r="AJ22" i="4" s="1"/>
  <c r="F15" i="4"/>
  <c r="H15" i="4"/>
  <c r="J15" i="4"/>
  <c r="B15" i="4"/>
  <c r="D15" i="4"/>
  <c r="K15" i="4"/>
  <c r="AJ15" i="4" s="1"/>
  <c r="H27" i="4"/>
  <c r="J27" i="4"/>
  <c r="D27" i="4"/>
  <c r="B27" i="4"/>
  <c r="F27" i="4"/>
  <c r="K27" i="4"/>
  <c r="B38" i="4"/>
  <c r="D38" i="4"/>
  <c r="H38" i="4"/>
  <c r="F38" i="4"/>
  <c r="J38" i="4"/>
  <c r="K38" i="4"/>
  <c r="AL38" i="4" s="1"/>
  <c r="B82" i="4"/>
  <c r="D82" i="4"/>
  <c r="F82" i="4"/>
  <c r="H82" i="4"/>
  <c r="J82" i="4"/>
  <c r="B95" i="4"/>
  <c r="D95" i="4"/>
  <c r="F95" i="4"/>
  <c r="H95" i="4"/>
  <c r="J95" i="4"/>
  <c r="B108" i="4"/>
  <c r="D108" i="4"/>
  <c r="F108" i="4"/>
  <c r="H108" i="4"/>
  <c r="J108" i="4"/>
  <c r="B119" i="4"/>
  <c r="D119" i="4"/>
  <c r="F119" i="4"/>
  <c r="H119" i="4"/>
  <c r="J119" i="4"/>
  <c r="D86" i="4"/>
  <c r="H86" i="4"/>
  <c r="B86" i="4"/>
  <c r="F86" i="4"/>
  <c r="J86" i="4"/>
  <c r="D111" i="4"/>
  <c r="H111" i="4"/>
  <c r="B111" i="4"/>
  <c r="F111" i="4"/>
  <c r="J111" i="4"/>
  <c r="F13" i="4"/>
  <c r="H13" i="4"/>
  <c r="J13" i="4"/>
  <c r="D13" i="4"/>
  <c r="B13" i="4"/>
  <c r="K13" i="4"/>
  <c r="AJ13" i="4" s="1"/>
  <c r="B92" i="4"/>
  <c r="F92" i="4"/>
  <c r="J92" i="4"/>
  <c r="D92" i="4"/>
  <c r="H92" i="4"/>
  <c r="B109" i="4"/>
  <c r="F109" i="4"/>
  <c r="J109" i="4"/>
  <c r="D109" i="4"/>
  <c r="H109" i="4"/>
  <c r="D84" i="4"/>
  <c r="H84" i="4"/>
  <c r="B84" i="4"/>
  <c r="F84" i="4"/>
  <c r="J84" i="4"/>
  <c r="D114" i="4"/>
  <c r="H114" i="4"/>
  <c r="B114" i="4"/>
  <c r="F114" i="4"/>
  <c r="J114" i="4"/>
  <c r="B53" i="4"/>
  <c r="F53" i="4"/>
  <c r="H53" i="4"/>
  <c r="J53" i="4"/>
  <c r="D53" i="4"/>
  <c r="K53" i="4"/>
  <c r="AL53" i="4" s="1"/>
  <c r="B96" i="4"/>
  <c r="F96" i="4"/>
  <c r="J96" i="4"/>
  <c r="D96" i="4"/>
  <c r="H96" i="4"/>
  <c r="B9" i="4"/>
  <c r="D9" i="4"/>
  <c r="F9" i="4"/>
  <c r="J9" i="4"/>
  <c r="H9" i="4"/>
  <c r="K9" i="4"/>
  <c r="AJ9" i="4" s="1"/>
  <c r="H7" i="4"/>
  <c r="D7" i="4"/>
  <c r="J7" i="4"/>
  <c r="F7" i="4"/>
  <c r="B7" i="4"/>
  <c r="K7" i="4"/>
  <c r="Y7" i="4"/>
  <c r="I121" i="1"/>
  <c r="C61" i="4" l="1"/>
  <c r="E61" i="4"/>
  <c r="A61" i="4"/>
  <c r="AJ36" i="4"/>
  <c r="AJ59" i="4"/>
  <c r="AJ33" i="4"/>
  <c r="AJ41" i="4"/>
  <c r="AJ58" i="4"/>
  <c r="A11" i="4"/>
  <c r="C41" i="4"/>
  <c r="A12" i="4"/>
  <c r="AJ56" i="4"/>
  <c r="A49" i="4"/>
  <c r="E60" i="4"/>
  <c r="G44" i="4"/>
  <c r="C45" i="4"/>
  <c r="E45" i="4"/>
  <c r="AJ32" i="4"/>
  <c r="AJ54" i="4"/>
  <c r="A44" i="4"/>
  <c r="C44" i="4"/>
  <c r="G49" i="4"/>
  <c r="AJ18" i="4"/>
  <c r="A45" i="4"/>
  <c r="AJ27" i="4"/>
  <c r="E46" i="4"/>
  <c r="AJ48" i="4"/>
  <c r="G58" i="4"/>
  <c r="I33" i="4"/>
  <c r="I121" i="4" s="1"/>
  <c r="E33" i="4"/>
  <c r="A33" i="4"/>
  <c r="AJ19" i="4"/>
  <c r="A41" i="4"/>
  <c r="AJ25" i="4"/>
  <c r="E59" i="4"/>
  <c r="A59" i="4"/>
  <c r="A58" i="4"/>
  <c r="C33" i="4"/>
  <c r="AJ31" i="4"/>
  <c r="AJ17" i="4"/>
  <c r="A36" i="4"/>
  <c r="C32" i="4"/>
  <c r="A35" i="4"/>
  <c r="E35" i="4"/>
  <c r="E47" i="4"/>
  <c r="C54" i="4"/>
  <c r="C22" i="4"/>
  <c r="C20" i="4"/>
  <c r="A22" i="4"/>
  <c r="A20" i="4"/>
  <c r="E10" i="4"/>
  <c r="A10" i="4"/>
  <c r="A34" i="4"/>
  <c r="E56" i="4"/>
  <c r="A56" i="4"/>
  <c r="E42" i="4"/>
  <c r="E43" i="4"/>
  <c r="C53" i="4"/>
  <c r="E53" i="4"/>
  <c r="E48" i="4"/>
  <c r="C14" i="4"/>
  <c r="C29" i="4"/>
  <c r="G27" i="4"/>
  <c r="A27" i="4"/>
  <c r="A29" i="4"/>
  <c r="A24" i="4"/>
  <c r="A18" i="4"/>
  <c r="G30" i="4"/>
  <c r="E19" i="4"/>
  <c r="A19" i="4"/>
  <c r="A30" i="4"/>
  <c r="E51" i="4"/>
  <c r="E52" i="4"/>
  <c r="A8" i="4"/>
  <c r="E9" i="4"/>
  <c r="E8" i="4"/>
  <c r="E16" i="4"/>
  <c r="E23" i="4"/>
  <c r="G28" i="4"/>
  <c r="E12" i="4"/>
  <c r="G26" i="4"/>
  <c r="C39" i="4"/>
  <c r="C40" i="4"/>
  <c r="C25" i="4"/>
  <c r="E21" i="4"/>
  <c r="G37" i="4"/>
  <c r="A9" i="4"/>
  <c r="E36" i="4"/>
  <c r="E38" i="4"/>
  <c r="E32" i="4"/>
  <c r="E22" i="4"/>
  <c r="E20" i="4"/>
  <c r="G34" i="4"/>
  <c r="C10" i="4"/>
  <c r="C56" i="4"/>
  <c r="A53" i="4"/>
  <c r="E14" i="4"/>
  <c r="A14" i="4"/>
  <c r="G11" i="4"/>
  <c r="E29" i="4"/>
  <c r="E55" i="4"/>
  <c r="E57" i="4"/>
  <c r="E24" i="4"/>
  <c r="E18" i="4"/>
  <c r="C19" i="4"/>
  <c r="C23" i="4"/>
  <c r="A16" i="4"/>
  <c r="A23" i="4"/>
  <c r="E13" i="4"/>
  <c r="A13" i="4"/>
  <c r="A28" i="4"/>
  <c r="E39" i="4"/>
  <c r="E40" i="4"/>
  <c r="A40" i="4"/>
  <c r="E25" i="4"/>
  <c r="E31" i="4"/>
  <c r="A31" i="4"/>
  <c r="E15" i="4"/>
  <c r="E17" i="4"/>
  <c r="C37" i="4"/>
  <c r="A21" i="4"/>
  <c r="A37" i="4"/>
  <c r="A7" i="4"/>
  <c r="AJ7" i="4"/>
  <c r="AL7" i="4" s="1"/>
  <c r="K121" i="4"/>
  <c r="E7" i="4"/>
  <c r="C7" i="4"/>
  <c r="AL36" i="4" l="1"/>
  <c r="AL58" i="4"/>
  <c r="AL33" i="4"/>
  <c r="AL41" i="4"/>
  <c r="AL59" i="4"/>
  <c r="AL54" i="4"/>
  <c r="AL32" i="4"/>
  <c r="AL56" i="4"/>
  <c r="AL18" i="4"/>
  <c r="AL19" i="4"/>
  <c r="AL48" i="4"/>
  <c r="AL27" i="4"/>
  <c r="AL17" i="4"/>
  <c r="AL31" i="4"/>
  <c r="AL25" i="4"/>
  <c r="AL26" i="4"/>
  <c r="AL39" i="4"/>
  <c r="AL34" i="4"/>
  <c r="AL47" i="4"/>
  <c r="AL22" i="4"/>
  <c r="AL13" i="4"/>
  <c r="AL37" i="4"/>
  <c r="AL23" i="4"/>
  <c r="AL14" i="4"/>
  <c r="AL42" i="4"/>
  <c r="AL24" i="4"/>
  <c r="AL16" i="4"/>
  <c r="AL8" i="4"/>
  <c r="AL30" i="4"/>
  <c r="AL29" i="4"/>
  <c r="AL20" i="4"/>
  <c r="AL15" i="4"/>
  <c r="AL28" i="4"/>
  <c r="AL10" i="4"/>
  <c r="AL12" i="4"/>
  <c r="AL35" i="4"/>
  <c r="AL11" i="4"/>
  <c r="AL21" i="4"/>
  <c r="AL9" i="4"/>
  <c r="E121" i="4"/>
  <c r="A121" i="4"/>
  <c r="C121" i="4"/>
  <c r="G121" i="4"/>
  <c r="M35" i="1"/>
  <c r="M33" i="1"/>
  <c r="K33" i="1"/>
  <c r="M13" i="1" l="1"/>
  <c r="K8" i="1" l="1"/>
  <c r="K116" i="1" l="1"/>
  <c r="J115" i="1"/>
  <c r="K100" i="1"/>
  <c r="K98" i="1"/>
  <c r="K97" i="1"/>
  <c r="K95" i="1"/>
  <c r="K71" i="1"/>
  <c r="M61" i="1"/>
  <c r="K61" i="1"/>
  <c r="M60" i="1"/>
  <c r="K60" i="1"/>
  <c r="I60" i="1"/>
  <c r="M58" i="1"/>
  <c r="K58" i="1"/>
  <c r="I58" i="1"/>
  <c r="K57" i="1"/>
  <c r="M57" i="1"/>
  <c r="K55" i="1"/>
  <c r="M55" i="1"/>
  <c r="M54" i="1"/>
  <c r="K54" i="1"/>
  <c r="M52" i="1"/>
  <c r="K52" i="1"/>
  <c r="K45" i="1"/>
  <c r="M42" i="1"/>
  <c r="K42" i="1"/>
  <c r="M41" i="1"/>
  <c r="K41" i="1"/>
  <c r="M39" i="1"/>
  <c r="K39" i="1"/>
  <c r="M36" i="1"/>
  <c r="K36" i="1"/>
  <c r="G30" i="1"/>
  <c r="G28" i="1"/>
  <c r="M25" i="1"/>
  <c r="K25" i="1"/>
  <c r="M19" i="1"/>
  <c r="K19" i="1"/>
  <c r="K14" i="1"/>
  <c r="K13" i="1"/>
  <c r="M11" i="1"/>
  <c r="K11" i="1"/>
  <c r="M10" i="1"/>
  <c r="K10" i="1"/>
  <c r="M8" i="1"/>
  <c r="K5" i="1"/>
  <c r="J1" i="1"/>
  <c r="AJ7" i="18" l="1"/>
  <c r="AH7" i="18" s="1"/>
</calcChain>
</file>

<file path=xl/comments1.xml><?xml version="1.0" encoding="utf-8"?>
<comments xmlns="http://schemas.openxmlformats.org/spreadsheetml/2006/main">
  <authors>
    <author>Martin</author>
    <author>Author</author>
    <author>Robert</author>
  </authors>
  <commentList>
    <comment ref="H3" authorId="0">
      <text>
        <r>
          <rPr>
            <b/>
            <sz val="8"/>
            <color indexed="81"/>
            <rFont val="Tahoma"/>
            <family val="2"/>
            <charset val="186"/>
          </rPr>
          <t>Osalustasu mängija kohta</t>
        </r>
      </text>
    </comment>
    <comment ref="I3" authorId="1">
      <text>
        <r>
          <rPr>
            <b/>
            <sz val="8"/>
            <color indexed="81"/>
            <rFont val="Tahoma"/>
            <family val="2"/>
            <charset val="186"/>
          </rPr>
          <t>Osalejate arv</t>
        </r>
      </text>
    </comment>
    <comment ref="F5" authorId="1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F6" authorId="1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F7" authorId="1">
      <text>
        <r>
          <rPr>
            <b/>
            <sz val="8"/>
            <color indexed="81"/>
            <rFont val="Tahoma"/>
            <family val="2"/>
            <charset val="186"/>
          </rPr>
          <t>Kohtla-Järve, Järveküla tee 44
Spordihoone taga</t>
        </r>
      </text>
    </comment>
    <comment ref="F8" authorId="1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H8" authorId="2">
      <text>
        <r>
          <rPr>
            <b/>
            <sz val="8"/>
            <color indexed="81"/>
            <rFont val="Tahoma"/>
            <family val="2"/>
            <charset val="186"/>
          </rPr>
          <t>Juuniorid 1 €</t>
        </r>
      </text>
    </comment>
    <comment ref="F10" authorId="1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F11" authorId="1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F12" authorId="1">
      <text>
        <r>
          <rPr>
            <b/>
            <sz val="8"/>
            <color indexed="81"/>
            <rFont val="Tahoma"/>
            <family val="2"/>
            <charset val="186"/>
          </rPr>
          <t>Kohtla-Järve, Järveküla tee 44
Spordihoone taga</t>
        </r>
      </text>
    </comment>
    <comment ref="F13" authorId="1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H13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Osalustasu Toila valla elanikele ja Viru SK liikmetele 3 €, 
teistele 5 € </t>
        </r>
      </text>
    </comment>
    <comment ref="F14" authorId="1">
      <text>
        <r>
          <rPr>
            <b/>
            <sz val="8"/>
            <color indexed="81"/>
            <rFont val="Tahoma"/>
            <family val="2"/>
            <charset val="186"/>
          </rPr>
          <t>Kohtla-Järve, Järveküla tee 44
Spordihoone taga</t>
        </r>
      </text>
    </comment>
    <comment ref="H14" authorId="2">
      <text>
        <r>
          <rPr>
            <b/>
            <sz val="8"/>
            <color indexed="81"/>
            <rFont val="Tahoma"/>
            <family val="2"/>
            <charset val="186"/>
          </rPr>
          <t>Juuniorid 1 €</t>
        </r>
      </text>
    </comment>
    <comment ref="F15" authorId="1">
      <text>
        <r>
          <rPr>
            <b/>
            <sz val="8"/>
            <color indexed="81"/>
            <rFont val="Tahoma"/>
            <family val="2"/>
            <charset val="186"/>
          </rPr>
          <t>Kohtla-Järve, Järveküla tee 44
Spordihoone taga</t>
        </r>
      </text>
    </comment>
    <comment ref="H15" authorId="1">
      <text>
        <r>
          <rPr>
            <b/>
            <sz val="8"/>
            <color indexed="81"/>
            <rFont val="Tahoma"/>
            <family val="2"/>
            <charset val="186"/>
          </rPr>
          <t>Juunioridel 5 €
Eesti meistrivõistlustel osalemiseks peavad olema: 
 - petankeri litsents, 
 - võistluskuulid.</t>
        </r>
      </text>
    </comment>
    <comment ref="F16" authorId="1">
      <text>
        <r>
          <rPr>
            <b/>
            <sz val="8"/>
            <color indexed="81"/>
            <rFont val="Tahoma"/>
            <family val="2"/>
            <charset val="186"/>
          </rPr>
          <t>Kohtla-Järve, Järveküla tee 44
Spordihoone taga</t>
        </r>
      </text>
    </comment>
    <comment ref="H16" authorId="1">
      <text>
        <r>
          <rPr>
            <b/>
            <sz val="8"/>
            <color indexed="81"/>
            <rFont val="Tahoma"/>
            <family val="2"/>
            <charset val="186"/>
          </rPr>
          <t>Juunioridel 5 €</t>
        </r>
      </text>
    </comment>
    <comment ref="F17" authorId="1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H17" authorId="2">
      <text>
        <r>
          <rPr>
            <b/>
            <sz val="8"/>
            <color indexed="81"/>
            <rFont val="Tahoma"/>
            <family val="2"/>
            <charset val="186"/>
          </rPr>
          <t>Juuniorid 1 €</t>
        </r>
      </text>
    </comment>
    <comment ref="F18" authorId="1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F20" authorId="1">
      <text>
        <r>
          <rPr>
            <b/>
            <sz val="8"/>
            <color indexed="81"/>
            <rFont val="Tahoma"/>
            <family val="2"/>
            <charset val="186"/>
          </rPr>
          <t>Kohtla-Järve, Järveküla tee 44
Spordihoone taga</t>
        </r>
      </text>
    </comment>
    <comment ref="F21" authorId="1">
      <text>
        <r>
          <rPr>
            <b/>
            <sz val="8"/>
            <color indexed="81"/>
            <rFont val="Tahoma"/>
            <family val="2"/>
            <charset val="186"/>
          </rPr>
          <t>Kohtla-Järve, Järveküla tee 44
Spordihoone taga</t>
        </r>
      </text>
    </comment>
    <comment ref="H21" authorId="2">
      <text>
        <r>
          <rPr>
            <b/>
            <sz val="8"/>
            <color indexed="81"/>
            <rFont val="Tahoma"/>
            <family val="2"/>
            <charset val="186"/>
          </rPr>
          <t>Juuniorid 1 €</t>
        </r>
      </text>
    </comment>
    <comment ref="F22" authorId="1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F23" authorId="1">
      <text>
        <r>
          <rPr>
            <b/>
            <sz val="8"/>
            <color indexed="81"/>
            <rFont val="Tahoma"/>
            <family val="2"/>
            <charset val="186"/>
          </rPr>
          <t>Kohtla-Järve, Järveküla tee 44
Spordihoone taga</t>
        </r>
      </text>
    </comment>
    <comment ref="H23" authorId="2">
      <text>
        <r>
          <rPr>
            <b/>
            <sz val="8"/>
            <color indexed="81"/>
            <rFont val="Tahoma"/>
            <family val="2"/>
            <charset val="186"/>
          </rPr>
          <t>Juuniorid 1 €</t>
        </r>
      </text>
    </comment>
    <comment ref="F24" authorId="1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F25" authorId="1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F27" authorId="1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F28" authorId="1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F29" authorId="1">
      <text>
        <r>
          <rPr>
            <b/>
            <sz val="8"/>
            <color indexed="81"/>
            <rFont val="Tahoma"/>
            <family val="2"/>
            <charset val="186"/>
          </rPr>
          <t>Kohtla-Järve, Järveküla tee 44
Spordihoone taga</t>
        </r>
      </text>
    </comment>
    <comment ref="F30" authorId="1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F32" authorId="1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H32" authorId="2">
      <text>
        <r>
          <rPr>
            <b/>
            <sz val="8"/>
            <color indexed="81"/>
            <rFont val="Tahoma"/>
            <family val="2"/>
            <charset val="186"/>
          </rPr>
          <t>Juuniorid 1 €</t>
        </r>
      </text>
    </comment>
    <comment ref="F33" authorId="1">
      <text>
        <r>
          <rPr>
            <b/>
            <sz val="8"/>
            <color indexed="81"/>
            <rFont val="Tahoma"/>
            <family val="2"/>
            <charset val="186"/>
          </rPr>
          <t>Kohtla-Järve, Järveküla tee 44
Spordihoone taga</t>
        </r>
      </text>
    </comment>
    <comment ref="H33" authorId="2">
      <text>
        <r>
          <rPr>
            <b/>
            <sz val="8"/>
            <color indexed="81"/>
            <rFont val="Tahoma"/>
            <family val="2"/>
            <charset val="186"/>
          </rPr>
          <t>Juuniorid 1 €</t>
        </r>
      </text>
    </comment>
    <comment ref="F34" authorId="1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F35" authorId="1">
      <text>
        <r>
          <rPr>
            <b/>
            <sz val="8"/>
            <color indexed="81"/>
            <rFont val="Tahoma"/>
            <family val="2"/>
            <charset val="186"/>
          </rPr>
          <t>Kohtla-Järve, Järveküla tee 44
Spordihoone taga</t>
        </r>
      </text>
    </comment>
    <comment ref="F36" authorId="1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F37" authorId="1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F39" authorId="1">
      <text>
        <r>
          <rPr>
            <b/>
            <sz val="8"/>
            <color indexed="81"/>
            <rFont val="Tahoma"/>
            <family val="2"/>
            <charset val="186"/>
          </rPr>
          <t>Kohtla-Järve, Järveküla tee 44
Spordihoone taga</t>
        </r>
      </text>
    </comment>
    <comment ref="F40" authorId="1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</commentList>
</comments>
</file>

<file path=xl/comments10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</commentList>
</comments>
</file>

<file path=xl/comments11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</commentList>
</comments>
</file>

<file path=xl/comments12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</commentList>
</comments>
</file>

<file path=xl/comments13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</commentList>
</comments>
</file>

<file path=xl/comments14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</commentList>
</comments>
</file>

<file path=xl/comments15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</commentList>
</comments>
</file>

<file path=xl/comments16.xml><?xml version="1.0" encoding="utf-8"?>
<comments xmlns="http://schemas.openxmlformats.org/spreadsheetml/2006/main">
  <authors>
    <author>Author</author>
  </authors>
  <commentList>
    <comment ref="AG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</commentList>
</comments>
</file>

<file path=xl/comments17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</commentList>
</comments>
</file>

<file path=xl/comments2.xml><?xml version="1.0" encoding="utf-8"?>
<comments xmlns="http://schemas.openxmlformats.org/spreadsheetml/2006/main">
  <authors>
    <author>Author</author>
    <author>Martin</author>
    <author>Robert</author>
  </authors>
  <commentList>
    <comment ref="K6" authorId="0">
      <text>
        <r>
          <rPr>
            <b/>
            <sz val="8"/>
            <color indexed="81"/>
            <rFont val="Tahoma"/>
            <family val="2"/>
            <charset val="186"/>
          </rPr>
          <t>5-liikmelised võistkonnad, kelle koosseisus on vähemalt 1 naine. 
Võistkonnas võib olla ka varumängija (6. liige), kuid iga mängu (ühe vastase vastu peetavad mängud) puhul peab võistkonnas olema vähemalt 1 naine.</t>
        </r>
      </text>
    </comment>
    <comment ref="K7" authorId="0">
      <text>
        <r>
          <rPr>
            <b/>
            <sz val="8"/>
            <color indexed="81"/>
            <rFont val="Tahoma"/>
            <family val="2"/>
            <charset val="186"/>
          </rPr>
          <t>Tartu, Lossi 25 
Toomkiriku varemed</t>
        </r>
      </text>
    </comment>
    <comment ref="M8" authorId="0">
      <text>
        <r>
          <rPr>
            <b/>
            <sz val="8"/>
            <color indexed="81"/>
            <rFont val="Tahoma"/>
            <family val="2"/>
            <charset val="186"/>
          </rPr>
          <t>Alates 2020 aastast peavad Eesti sisemeistrivõistlustel osalemiseks olema: 
 - petankeri litsents, 
 - võistluskuulid.</t>
        </r>
      </text>
    </comment>
    <comment ref="E10" authorId="0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K10" authorId="0">
      <text>
        <r>
          <rPr>
            <b/>
            <sz val="8"/>
            <color indexed="81"/>
            <rFont val="Tahoma"/>
            <family val="2"/>
            <charset val="186"/>
          </rPr>
          <t>Harku, Pikk 19
Harku petangihall</t>
        </r>
      </text>
    </comment>
    <comment ref="M10" authorId="0">
      <text>
        <r>
          <rPr>
            <b/>
            <sz val="8"/>
            <color indexed="81"/>
            <rFont val="Tahoma"/>
            <family val="2"/>
            <charset val="186"/>
          </rPr>
          <t>Harku, Pikk 19
Harku petangihall</t>
        </r>
      </text>
    </comment>
    <comment ref="K13" authorId="0">
      <text>
        <r>
          <rPr>
            <b/>
            <sz val="8"/>
            <color indexed="81"/>
            <rFont val="Tahoma"/>
            <family val="2"/>
            <charset val="186"/>
          </rPr>
          <t>Harku, Pikk 19
Harku petangihall</t>
        </r>
      </text>
    </comment>
    <comment ref="M13" authorId="0">
      <text>
        <r>
          <rPr>
            <b/>
            <sz val="8"/>
            <color indexed="81"/>
            <rFont val="Tahoma"/>
            <family val="2"/>
            <charset val="186"/>
          </rPr>
          <t>Harku, Pikk 19
Harku petangihall</t>
        </r>
      </text>
    </comment>
    <comment ref="E16" authorId="0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K16" authorId="1">
      <text>
        <r>
          <rPr>
            <b/>
            <sz val="8"/>
            <color indexed="81"/>
            <rFont val="Tahoma"/>
            <family val="2"/>
            <charset val="186"/>
          </rPr>
          <t xml:space="preserve">Haapsalu, Ranna tee 1, 
Paralepa rannaala </t>
        </r>
      </text>
    </comment>
    <comment ref="K19" authorId="0">
      <text>
        <r>
          <rPr>
            <b/>
            <sz val="8"/>
            <color indexed="81"/>
            <rFont val="Tahoma"/>
            <family val="2"/>
            <charset val="186"/>
          </rPr>
          <t>Eesti meistrivõistlustel osalemiseks peavad olema: 
 - petankeri litsents, 
 - võistluskuulid.</t>
        </r>
      </text>
    </comment>
    <comment ref="M19" authorId="2">
      <text>
        <r>
          <rPr>
            <b/>
            <sz val="8"/>
            <color indexed="81"/>
            <rFont val="Tahoma"/>
            <family val="2"/>
            <charset val="186"/>
          </rPr>
          <t>Eesti meistrivõistlustel osalemiseks peavad olema: 
 - petankeri litsents, 
 - võistluskuulid.</t>
        </r>
      </text>
    </comment>
    <comment ref="K21" authorId="1">
      <text>
        <r>
          <rPr>
            <b/>
            <sz val="8"/>
            <color indexed="81"/>
            <rFont val="Tahoma"/>
            <family val="2"/>
            <charset val="186"/>
          </rPr>
          <t xml:space="preserve">Haapsalu, Ranna tee 1, 
Paralepa rannaala </t>
        </r>
      </text>
    </comment>
    <comment ref="M21" authorId="1">
      <text>
        <r>
          <rPr>
            <b/>
            <sz val="8"/>
            <color indexed="81"/>
            <rFont val="Tahoma"/>
            <family val="2"/>
            <charset val="186"/>
          </rPr>
          <t xml:space="preserve">Haapsalu, Ranna tee 1, 
Paralepa rannaala </t>
        </r>
      </text>
    </comment>
    <comment ref="E24" authorId="0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K24" authorId="0">
      <text>
        <r>
          <rPr>
            <b/>
            <sz val="8"/>
            <color indexed="81"/>
            <rFont val="Tahoma"/>
            <family val="2"/>
            <charset val="186"/>
          </rPr>
          <t>Kohtla-Järve, Järveküla tee 44
Spordihoone taga</t>
        </r>
      </text>
    </comment>
    <comment ref="M24" authorId="0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K25" authorId="0">
      <text>
        <r>
          <rPr>
            <b/>
            <sz val="8"/>
            <color indexed="81"/>
            <rFont val="Tahoma"/>
            <family val="2"/>
            <charset val="186"/>
          </rPr>
          <t>Eesti meistrivõistlustel osalemiseks peavad olema: 
 - petankeri litsents, 
 - võistluskuulid.</t>
        </r>
      </text>
    </comment>
    <comment ref="J28" authorId="2">
      <text>
        <r>
          <rPr>
            <b/>
            <sz val="8"/>
            <color indexed="81"/>
            <rFont val="Tahoma"/>
            <family val="2"/>
            <charset val="186"/>
          </rPr>
          <t>võidupüha</t>
        </r>
      </text>
    </comment>
    <comment ref="L28" authorId="2">
      <text>
        <r>
          <rPr>
            <b/>
            <sz val="8"/>
            <color indexed="81"/>
            <rFont val="Tahoma"/>
            <family val="2"/>
            <charset val="186"/>
          </rPr>
          <t>jaanipäev</t>
        </r>
      </text>
    </comment>
    <comment ref="E30" authorId="0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M33" authorId="0">
      <text>
        <r>
          <rPr>
            <b/>
            <sz val="8"/>
            <color indexed="81"/>
            <rFont val="Tahoma"/>
            <family val="2"/>
            <charset val="186"/>
          </rPr>
          <t>Eesti meistrivõistlustel osalemiseks peavad olema: 
 - petankeri litsents, 
 - võistluskuulid.</t>
        </r>
      </text>
    </comment>
    <comment ref="K35" authorId="2">
      <text>
        <r>
          <rPr>
            <b/>
            <sz val="8"/>
            <color indexed="81"/>
            <rFont val="Tahoma"/>
            <family val="2"/>
            <charset val="186"/>
          </rPr>
          <t>Valga maakond, 
Tõrva, Puiestee 1
Tõrva Gümnaasiumi parkla</t>
        </r>
      </text>
    </comment>
    <comment ref="M35" authorId="2">
      <text>
        <r>
          <rPr>
            <b/>
            <sz val="8"/>
            <color indexed="81"/>
            <rFont val="Tahoma"/>
            <family val="2"/>
            <charset val="186"/>
          </rPr>
          <t>Valga maakond, 
Tõrva, Puiestee 1
Tõrva Gümnaasiumi parkla</t>
        </r>
      </text>
    </comment>
    <comment ref="E38" authorId="0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K39" authorId="0">
      <text>
        <r>
          <rPr>
            <b/>
            <sz val="8"/>
            <color indexed="81"/>
            <rFont val="Tahoma"/>
            <family val="2"/>
            <charset val="186"/>
          </rPr>
          <t>Klubide karikal osalemiseks peavad olema: 
 - petankeri litsents, 
 - võistluskuulid
 - ühtne võistlussärk.</t>
        </r>
      </text>
    </comment>
    <comment ref="M39" authorId="0">
      <text>
        <r>
          <rPr>
            <b/>
            <sz val="8"/>
            <color indexed="81"/>
            <rFont val="Tahoma"/>
            <family val="2"/>
            <charset val="186"/>
          </rPr>
          <t>Klubide karikal osalemiseks peavad olema: 
 - petankeri litsents, 
 - võistluskuulid
 - ühtne võistlussärk.</t>
        </r>
      </text>
    </comment>
    <comment ref="K41" authorId="2">
      <text>
        <r>
          <rPr>
            <b/>
            <sz val="8"/>
            <color indexed="81"/>
            <rFont val="Tahoma"/>
            <family val="2"/>
            <charset val="186"/>
          </rPr>
          <t>Valga maakond, 
Tõrva, Puiestee 1
Tõrva Gümnaasiumi parkla</t>
        </r>
      </text>
    </comment>
    <comment ref="M41" authorId="2">
      <text>
        <r>
          <rPr>
            <b/>
            <sz val="8"/>
            <color indexed="81"/>
            <rFont val="Tahoma"/>
            <family val="2"/>
            <charset val="186"/>
          </rPr>
          <t>Valga maakond, 
Tõrva, Puiestee 1
Tõrva Gümnaasiumi parkla</t>
        </r>
      </text>
    </comment>
    <comment ref="K42" authorId="0">
      <text>
        <r>
          <rPr>
            <b/>
            <sz val="8"/>
            <color indexed="81"/>
            <rFont val="Tahoma"/>
            <family val="2"/>
            <charset val="186"/>
          </rPr>
          <t>Eesti meistrivõistlustel osalemiseks peavad olema: 
 - petankeri litsents, 
 - võistluskuulid.</t>
        </r>
      </text>
    </comment>
    <comment ref="M42" authorId="0">
      <text>
        <r>
          <rPr>
            <b/>
            <sz val="8"/>
            <color indexed="81"/>
            <rFont val="Tahoma"/>
            <family val="2"/>
            <charset val="186"/>
          </rPr>
          <t>Eesti meistrivõistlustel osalemiseks peavad olema: 
 - petankeri litsents, 
 - võistluskuulid.</t>
        </r>
      </text>
    </comment>
    <comment ref="E44" authorId="0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K47" authorId="1">
      <text>
        <r>
          <rPr>
            <b/>
            <sz val="8"/>
            <color indexed="81"/>
            <rFont val="Tahoma"/>
            <family val="2"/>
            <charset val="186"/>
          </rPr>
          <t>Märjamaa vallavalitsuse ja ujula vahelisel alal</t>
        </r>
      </text>
    </comment>
    <comment ref="M47" authorId="1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K52" authorId="2">
      <text>
        <r>
          <rPr>
            <b/>
            <sz val="8"/>
            <color indexed="81"/>
            <rFont val="Tahoma"/>
            <family val="2"/>
            <charset val="186"/>
          </rPr>
          <t>Eesti meistrivõistlustel osalemiseks peavad olema: 
 - petankeri litsents, 
 - võistluskuulid.</t>
        </r>
      </text>
    </comment>
    <comment ref="M52" authorId="2">
      <text>
        <r>
          <rPr>
            <b/>
            <sz val="8"/>
            <color indexed="81"/>
            <rFont val="Tahoma"/>
            <family val="2"/>
            <charset val="186"/>
          </rPr>
          <t>Eesti meistrivõistlustel osalemiseks peavad olema: 
 - petankeri litsents, 
 - võistluskuulid.</t>
        </r>
      </text>
    </comment>
    <comment ref="E54" authorId="0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K54" authorId="0">
      <text>
        <r>
          <rPr>
            <b/>
            <sz val="8"/>
            <color indexed="81"/>
            <rFont val="Tahoma"/>
            <family val="2"/>
            <charset val="186"/>
          </rPr>
          <t>Metsa ja Jõe tänava ristist keerata Pedeli jõe poole</t>
        </r>
      </text>
    </comment>
    <comment ref="M54" authorId="0">
      <text>
        <r>
          <rPr>
            <b/>
            <sz val="8"/>
            <color indexed="81"/>
            <rFont val="Tahoma"/>
            <family val="2"/>
            <charset val="186"/>
          </rPr>
          <t>Metsa ja Jõe tänava ristist keerata Pedeli jõe poole</t>
        </r>
      </text>
    </comment>
    <comment ref="K55" authorId="0">
      <text>
        <r>
          <rPr>
            <b/>
            <sz val="8"/>
            <color indexed="81"/>
            <rFont val="Tahoma"/>
            <family val="2"/>
            <charset val="186"/>
          </rPr>
          <t>Eesti meistrivõistlustel osalemiseks peavad olema: 
 - petankeri litsents, 
 - võistluskuulid.</t>
        </r>
      </text>
    </comment>
    <comment ref="K57" authorId="0">
      <text>
        <r>
          <rPr>
            <b/>
            <sz val="8"/>
            <color indexed="81"/>
            <rFont val="Tahoma"/>
            <family val="2"/>
            <charset val="186"/>
          </rPr>
          <t>Võru, Roosi 26a</t>
        </r>
      </text>
    </comment>
    <comment ref="M57" authorId="0">
      <text>
        <r>
          <rPr>
            <b/>
            <sz val="8"/>
            <color indexed="81"/>
            <rFont val="Tahoma"/>
            <family val="2"/>
            <charset val="186"/>
          </rPr>
          <t>Võru, Roosi 26a</t>
        </r>
      </text>
    </comment>
    <comment ref="N58" authorId="2">
      <text>
        <r>
          <rPr>
            <b/>
            <sz val="8"/>
            <color indexed="81"/>
            <rFont val="Tahoma"/>
            <family val="2"/>
            <charset val="186"/>
          </rPr>
          <t>taasiseseisvumispäev</t>
        </r>
      </text>
    </comment>
    <comment ref="E60" authorId="0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I60" authorId="2">
      <text>
        <r>
          <rPr>
            <b/>
            <sz val="8"/>
            <color indexed="81"/>
            <rFont val="Tahoma"/>
            <family val="2"/>
            <charset val="186"/>
          </rPr>
          <t>Läti, 
Upesciems, 
Skolas iela 11, 
Upesciema stadions</t>
        </r>
      </text>
    </comment>
    <comment ref="K60" authorId="2">
      <text>
        <r>
          <rPr>
            <b/>
            <sz val="8"/>
            <color indexed="81"/>
            <rFont val="Tahoma"/>
            <family val="2"/>
            <charset val="186"/>
          </rPr>
          <t>Läti, 
Upesciems, 
Skolas iela 11, 
Upesciema stadions</t>
        </r>
      </text>
    </comment>
    <comment ref="M60" authorId="2">
      <text>
        <r>
          <rPr>
            <b/>
            <sz val="8"/>
            <color indexed="81"/>
            <rFont val="Tahoma"/>
            <family val="2"/>
            <charset val="186"/>
          </rPr>
          <t>Läti, 
Upesciems, 
Skolas iela 11, 
Upesciema stadions</t>
        </r>
      </text>
    </comment>
    <comment ref="E63" authorId="0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M68" authorId="0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K76" authorId="0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K86" authorId="0">
      <text>
        <r>
          <rPr>
            <b/>
            <sz val="8"/>
            <color indexed="81"/>
            <rFont val="Tahoma"/>
            <family val="2"/>
            <charset val="186"/>
          </rPr>
          <t>Voka, Metsa 2
Voka staadion</t>
        </r>
      </text>
    </comment>
    <comment ref="K95" authorId="0">
      <text>
        <r>
          <rPr>
            <b/>
            <sz val="8"/>
            <color indexed="81"/>
            <rFont val="Tahoma"/>
            <family val="2"/>
            <charset val="186"/>
          </rPr>
          <t>Eesti meistrivõistlustel osalemiseks peavad olema: 
 - petankeri litsents, 
 - võistluskuulid.</t>
        </r>
      </text>
    </comment>
    <comment ref="K97" authorId="0">
      <text>
        <r>
          <rPr>
            <b/>
            <sz val="8"/>
            <color indexed="81"/>
            <rFont val="Tahoma"/>
            <family val="2"/>
            <charset val="186"/>
          </rPr>
          <t>Harku, Pikk 19
Harku petangihall</t>
        </r>
      </text>
    </comment>
    <comment ref="K100" authorId="0">
      <text>
        <r>
          <rPr>
            <b/>
            <sz val="8"/>
            <color indexed="81"/>
            <rFont val="Tahoma"/>
            <family val="2"/>
            <charset val="186"/>
          </rPr>
          <t>Harku, Pikk 19
Harku petangihall</t>
        </r>
      </text>
    </comment>
    <comment ref="J104" authorId="1">
      <text>
        <r>
          <rPr>
            <b/>
            <sz val="8"/>
            <color indexed="81"/>
            <rFont val="Tahoma"/>
            <family val="2"/>
            <charset val="186"/>
          </rPr>
          <t>CEP lehel 26. on viga</t>
        </r>
      </text>
    </comment>
  </commentList>
</comments>
</file>

<file path=xl/comments3.xml><?xml version="1.0" encoding="utf-8"?>
<comments xmlns="http://schemas.openxmlformats.org/spreadsheetml/2006/main">
  <authors>
    <author>Author</author>
    <author>Martin</author>
  </authors>
  <commentList>
    <comment ref="AI1" authorId="0">
      <text>
        <r>
          <rPr>
            <b/>
            <sz val="8"/>
            <color indexed="81"/>
            <rFont val="Tahoma"/>
            <family val="2"/>
            <charset val="186"/>
          </rPr>
          <t>Paarismängus saab viimane koht 2 punkti ja iga kõrgem koht 2 punkti rohkem.
Triodes saab viimane koht 3 punkti ja iga kõrgem koht 3 punkti rohkem.</t>
        </r>
      </text>
    </comment>
    <comment ref="A6" authorId="0">
      <text>
        <r>
          <rPr>
            <b/>
            <sz val="8"/>
            <color indexed="81"/>
            <rFont val="Tahoma"/>
            <family val="2"/>
            <charset val="186"/>
          </rPr>
          <t>Viru spordiklubi mängijad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C6" authorId="0">
      <text>
        <r>
          <rPr>
            <b/>
            <sz val="8"/>
            <color indexed="81"/>
            <rFont val="Tahoma"/>
            <family val="2"/>
            <charset val="186"/>
          </rPr>
          <t>Toila valla mängijad</t>
        </r>
      </text>
    </comment>
    <comment ref="G6" authorId="0">
      <text>
        <r>
          <rPr>
            <b/>
            <sz val="8"/>
            <color indexed="81"/>
            <rFont val="Tahoma"/>
            <family val="2"/>
            <charset val="186"/>
          </rPr>
          <t>Naised</t>
        </r>
      </text>
    </comment>
    <comment ref="I6" authorId="0">
      <text>
        <r>
          <rPr>
            <b/>
            <sz val="8"/>
            <color indexed="81"/>
            <rFont val="Tahoma"/>
            <family val="2"/>
            <charset val="186"/>
          </rPr>
          <t>Juuniorid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Toila valla mängijad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Q6" authorId="0">
      <text>
        <r>
          <rPr>
            <b/>
            <sz val="8"/>
            <color indexed="81"/>
            <rFont val="Tahoma"/>
            <family val="2"/>
            <charset val="186"/>
          </rPr>
          <t>Viru SK mängijad seisuga 02.02.2022</t>
        </r>
      </text>
    </comment>
    <comment ref="R6" authorId="1">
      <text>
        <r>
          <rPr>
            <b/>
            <sz val="8"/>
            <color indexed="81"/>
            <rFont val="Tahoma"/>
            <family val="2"/>
            <charset val="186"/>
          </rPr>
          <t>1 kehvem tulemus võetakse maha</t>
        </r>
      </text>
    </comment>
    <comment ref="Q48" authorId="1">
      <text>
        <r>
          <rPr>
            <b/>
            <sz val="8"/>
            <color indexed="81"/>
            <rFont val="Tahoma"/>
            <family val="2"/>
            <charset val="186"/>
          </rPr>
          <t>? 27.05.1997</t>
        </r>
      </text>
    </comment>
    <comment ref="Q72" authorId="0">
      <text>
        <r>
          <rPr>
            <b/>
            <sz val="8"/>
            <color indexed="81"/>
            <rFont val="Tahoma"/>
            <family val="2"/>
            <charset val="186"/>
          </rPr>
          <t>Tartu - aastast 2021</t>
        </r>
      </text>
    </comment>
    <comment ref="Q74" authorId="0">
      <text>
        <r>
          <rPr>
            <b/>
            <sz val="8"/>
            <color indexed="81"/>
            <rFont val="Tahoma"/>
            <family val="2"/>
            <charset val="186"/>
          </rPr>
          <t>Tartu</t>
        </r>
      </text>
    </comment>
    <comment ref="Q94" authorId="0">
      <text>
        <r>
          <rPr>
            <b/>
            <sz val="8"/>
            <color indexed="81"/>
            <rFont val="Tahoma"/>
            <family val="2"/>
            <charset val="186"/>
          </rPr>
          <t>Konju</t>
        </r>
      </text>
    </comment>
    <comment ref="L99" authorId="0">
      <text>
        <r>
          <rPr>
            <b/>
            <sz val="8"/>
            <color indexed="81"/>
            <rFont val="Tahoma"/>
            <family val="2"/>
            <charset val="186"/>
          </rPr>
          <t>Наталия Геннадьевна Кяхяря 
Ивангород 
Natalia Kyakhyarya 
Ivangorod</t>
        </r>
      </text>
    </comment>
    <comment ref="Q103" authorId="0">
      <text>
        <r>
          <rPr>
            <b/>
            <sz val="8"/>
            <color indexed="81"/>
            <rFont val="Tahoma"/>
            <family val="2"/>
            <charset val="186"/>
          </rPr>
          <t>Tartu</t>
        </r>
      </text>
    </comment>
    <comment ref="O118" authorId="0">
      <text>
        <r>
          <rPr>
            <b/>
            <sz val="8"/>
            <color indexed="81"/>
            <rFont val="Tahoma"/>
            <family val="2"/>
            <charset val="186"/>
          </rPr>
          <t>Author:</t>
        </r>
        <r>
          <rPr>
            <sz val="8"/>
            <color indexed="81"/>
            <rFont val="Tahoma"/>
            <family val="2"/>
            <charset val="186"/>
          </rPr>
          <t xml:space="preserve">
2005?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AC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</commentList>
</comments>
</file>

<file path=xl/sharedStrings.xml><?xml version="1.0" encoding="utf-8"?>
<sst xmlns="http://schemas.openxmlformats.org/spreadsheetml/2006/main" count="3161" uniqueCount="474">
  <si>
    <t>EESTI JA IDA-VIRUMAA PETANGIKALENDER 2023</t>
  </si>
  <si>
    <t>Esmaspäev</t>
  </si>
  <si>
    <t>Teisipäev</t>
  </si>
  <si>
    <t>Kolmapäev</t>
  </si>
  <si>
    <t>Neljapäev</t>
  </si>
  <si>
    <t>Reede</t>
  </si>
  <si>
    <t>Laupäev</t>
  </si>
  <si>
    <t>Pühapäev</t>
  </si>
  <si>
    <t>Mai 2023</t>
  </si>
  <si>
    <t>TRIO+DUO</t>
  </si>
  <si>
    <t>TRIO, DUO, ÜKSIK</t>
  </si>
  <si>
    <t>TUL</t>
  </si>
  <si>
    <t>MV (35+), ÜKSIK</t>
  </si>
  <si>
    <t>???</t>
  </si>
  <si>
    <t>Juuni 2023</t>
  </si>
  <si>
    <t>DUO</t>
  </si>
  <si>
    <t>Haapsalu</t>
  </si>
  <si>
    <t>TRIO</t>
  </si>
  <si>
    <t>SEGADUO</t>
  </si>
  <si>
    <t>Saaremaa</t>
  </si>
  <si>
    <t>Juuli 2023</t>
  </si>
  <si>
    <t>ÜKSIK</t>
  </si>
  <si>
    <t>mängud, TRIO ?</t>
  </si>
  <si>
    <t>Rakvere</t>
  </si>
  <si>
    <t>Ü, D, SD, T, ST</t>
  </si>
  <si>
    <t>SEGATRIO</t>
  </si>
  <si>
    <t>Väätsa (Järvamaa)</t>
  </si>
  <si>
    <t>(35+), SEGATRIO</t>
  </si>
  <si>
    <t>August 2023</t>
  </si>
  <si>
    <t>September 2023</t>
  </si>
  <si>
    <t>Oktoober 2023</t>
  </si>
  <si>
    <t>ÜKSIK, D, SD, ST, T</t>
  </si>
  <si>
    <r>
      <t xml:space="preserve">DUO </t>
    </r>
    <r>
      <rPr>
        <b/>
        <sz val="10"/>
        <color rgb="FFC00000"/>
        <rFont val="Arial"/>
        <family val="2"/>
        <charset val="186"/>
      </rPr>
      <t>(naised)</t>
    </r>
  </si>
  <si>
    <t>Ü, D, SD, T</t>
  </si>
  <si>
    <t>Detsember 2023</t>
  </si>
  <si>
    <t>Ida-Viru reitinguvõistlused on rasvases trükis ja sinise taustaga</t>
  </si>
  <si>
    <t>Arvesse läheb 10 võistlust 14st (4 üksikmängu (sh tulistamine) 6st + 3 duot 4st + 3 triot 4st)</t>
  </si>
  <si>
    <t xml:space="preserve">Voka karikavõistluste sari on rohelise taustaga. </t>
  </si>
  <si>
    <t>Eesti reitingusarja võistlused on rasvases trükis.</t>
  </si>
  <si>
    <t>Eesti reitingusse lähevad Eesti MV-d, millest võetakse maha 1 kehvem tulemus.</t>
  </si>
  <si>
    <t>Viimased muudatused on punasega.</t>
  </si>
  <si>
    <t>Rahvusvahelised ja katsevõistlused on sinisega ja kaldkirjas</t>
  </si>
  <si>
    <t>Ü, D, SD</t>
  </si>
  <si>
    <t>Ü, D, SD finaal</t>
  </si>
  <si>
    <t>Cottonou (Benin)</t>
  </si>
  <si>
    <t>5. MM, ÜKSIK (m, n), DUO (m, n), SEGADUO</t>
  </si>
  <si>
    <t>50. Meeste MM, TRIO, TUL</t>
  </si>
  <si>
    <t>5. MM, Ü (m, n), D (m, n), SD</t>
  </si>
  <si>
    <t>Albertville (France)</t>
  </si>
  <si>
    <t>6. 55+ EM, TRIO</t>
  </si>
  <si>
    <t>7. Meeste EM, TRUO, TUL</t>
  </si>
  <si>
    <t>11. U23 EM (mehed, naised), TRIO</t>
  </si>
  <si>
    <t>November 2023</t>
  </si>
  <si>
    <t>Saint-Yrieix (Prantsusmaa)</t>
  </si>
  <si>
    <t>Bangkok (Tai)</t>
  </si>
  <si>
    <t>20. naiste MM, TRIO, TUL</t>
  </si>
  <si>
    <t>Tartu, Laulupeomuuseumi park</t>
  </si>
  <si>
    <t>1. etapp, DUO</t>
  </si>
  <si>
    <t>2. etapp, DUO</t>
  </si>
  <si>
    <t>IDA-VIRUMAA PETANGIKALENDER 2023</t>
  </si>
  <si>
    <t>Kuupäev</t>
  </si>
  <si>
    <t>Aeg</t>
  </si>
  <si>
    <t>Võistlus</t>
  </si>
  <si>
    <t>Mänguviis</t>
  </si>
  <si>
    <t>R</t>
  </si>
  <si>
    <t>Toimumiskoht</t>
  </si>
  <si>
    <t>Korraldaja</t>
  </si>
  <si>
    <t>Tasu</t>
  </si>
  <si>
    <t>Osal</t>
  </si>
  <si>
    <t>11:00</t>
  </si>
  <si>
    <t>Trio</t>
  </si>
  <si>
    <t>Ivar Viljaste</t>
  </si>
  <si>
    <t>18:00</t>
  </si>
  <si>
    <t>Voka X KV 1. etapp</t>
  </si>
  <si>
    <t>Duo</t>
  </si>
  <si>
    <t>Johannes Neiland</t>
  </si>
  <si>
    <t>L, 28.05.2023</t>
  </si>
  <si>
    <t>Maidu karikas, 1. etapp</t>
  </si>
  <si>
    <t>Üksik</t>
  </si>
  <si>
    <t>P, 29.05.2023</t>
  </si>
  <si>
    <t>Ida-Virumaa MV</t>
  </si>
  <si>
    <t>L, 04.06.2023</t>
  </si>
  <si>
    <t>19. ESL individ-võistk MV (35+)</t>
  </si>
  <si>
    <t>ESVL, Johannes Neiland</t>
  </si>
  <si>
    <t xml:space="preserve"> </t>
  </si>
  <si>
    <t>Toila valla lahtised MV</t>
  </si>
  <si>
    <t>P, 12.06.2023</t>
  </si>
  <si>
    <t>K-Järve 24. MV</t>
  </si>
  <si>
    <t>Voka X KV 2. etapp</t>
  </si>
  <si>
    <t>L, 18.06.2023</t>
  </si>
  <si>
    <t>10:00</t>
  </si>
  <si>
    <t>Segaduo</t>
  </si>
  <si>
    <t>SHK, EPKL</t>
  </si>
  <si>
    <t>P, 19.06.2023</t>
  </si>
  <si>
    <t>SHK, Ivar Viljaste</t>
  </si>
  <si>
    <t>Voka X KV 3. etapp</t>
  </si>
  <si>
    <t>P, 26.06.2023</t>
  </si>
  <si>
    <t>L, 02.07.2023</t>
  </si>
  <si>
    <t>Maidu karikas, 2. etapp</t>
  </si>
  <si>
    <t>P, 03.07.2023</t>
  </si>
  <si>
    <t>Voka X KV 4. etapp</t>
  </si>
  <si>
    <t>Voka X KV 5. etapp</t>
  </si>
  <si>
    <t>N, 21.07.2023</t>
  </si>
  <si>
    <t>Tulistamine</t>
  </si>
  <si>
    <t>Voka X KV 6. etapp</t>
  </si>
  <si>
    <t>Voka X KV 7. etapp</t>
  </si>
  <si>
    <t>Voka X KV 8. etapp</t>
  </si>
  <si>
    <t>L, 27.08.2023</t>
  </si>
  <si>
    <t>Maidu karikas, 3. etapp</t>
  </si>
  <si>
    <t>P, 04.09.2023</t>
  </si>
  <si>
    <t>Voka X KV 9. etapp</t>
  </si>
  <si>
    <t>P, 18.09.2023</t>
  </si>
  <si>
    <t>Voka X KV 10. etapp</t>
  </si>
  <si>
    <t>L, 24.09.2023</t>
  </si>
  <si>
    <t>Maidu karikas, 4. etapp</t>
  </si>
  <si>
    <t>L, 01.10.2023</t>
  </si>
  <si>
    <t>Maidu karikas, 5. etapp</t>
  </si>
  <si>
    <t>P, 02.10.2023</t>
  </si>
  <si>
    <t>Hooaja lõpetamine (pliks-plaks)</t>
  </si>
  <si>
    <t xml:space="preserve">Välishooaja lõpetamine toimub hiljem koos sisehooaja avamisega Voka petangihallis     </t>
  </si>
  <si>
    <t xml:space="preserve">Maidu karikas (Mait Metsla mälestuseks) on halli taustaga. 5st etapist läheb arvesse 4 paremat. </t>
  </si>
  <si>
    <t>Iga etapi kolmele paremale auhinnad. Kokkuvõttes kolmele paremale Maidu karikad.</t>
  </si>
  <si>
    <t>Tšaka hopp!</t>
  </si>
  <si>
    <t>Ida-Viru reitinguvõistlused on rasvases trükis</t>
  </si>
  <si>
    <t>Finaali pääsemiseks on vajalik osavõtt vähemalt 3st etapist. Finaal mängitakse kahe kaotuse süsteemis üksimängus.</t>
  </si>
  <si>
    <t xml:space="preserve">Voka karikavõistlused on rohelise taustaga. </t>
  </si>
  <si>
    <t>Viimased muudatused on punasega</t>
  </si>
  <si>
    <t>K, 10.05.2023</t>
  </si>
  <si>
    <t>K, 24.05.2023</t>
  </si>
  <si>
    <t>VOKA 10. KARIKAVÕISTLUSED 2023</t>
  </si>
  <si>
    <t xml:space="preserve">  </t>
  </si>
  <si>
    <t>Punktid</t>
  </si>
  <si>
    <t>Kuld</t>
  </si>
  <si>
    <t>Peida halli taustaga veerud</t>
  </si>
  <si>
    <t xml:space="preserve">Arvesse läheb 9 paremat tulemust 10st. </t>
  </si>
  <si>
    <t>Hõbe</t>
  </si>
  <si>
    <t>Pronks</t>
  </si>
  <si>
    <t>vasak täht on 17 punkti, järgmine 16 punkti jne</t>
  </si>
  <si>
    <t>paremus-järjestus</t>
  </si>
  <si>
    <t>nimi tähestik</t>
  </si>
  <si>
    <t>kolm paremat numbrit näitavad mitmes on nimi tähestiku järgi</t>
  </si>
  <si>
    <t>Osalusi</t>
  </si>
  <si>
    <t>Võite</t>
  </si>
  <si>
    <t>KOHT</t>
  </si>
  <si>
    <t>max 17 võistkonda</t>
  </si>
  <si>
    <t>kasutab</t>
  </si>
  <si>
    <t>järgi</t>
  </si>
  <si>
    <t>**</t>
  </si>
  <si>
    <t>Viru SK</t>
  </si>
  <si>
    <t>M</t>
  </si>
  <si>
    <t>Mehed</t>
  </si>
  <si>
    <t>N</t>
  </si>
  <si>
    <t>Naised</t>
  </si>
  <si>
    <t>J</t>
  </si>
  <si>
    <t>Juuniorid</t>
  </si>
  <si>
    <t>Üld</t>
  </si>
  <si>
    <t>Nimi</t>
  </si>
  <si>
    <t>K</t>
  </si>
  <si>
    <t>V</t>
  </si>
  <si>
    <t>val2</t>
  </si>
  <si>
    <t>val 1&amp;2</t>
  </si>
  <si>
    <t>jä val 1&amp;2</t>
  </si>
  <si>
    <t>val3</t>
  </si>
  <si>
    <t>val 1&amp;2&amp;3</t>
  </si>
  <si>
    <t>jä val 1&amp;2&amp;3</t>
  </si>
  <si>
    <t>rank</t>
  </si>
  <si>
    <t>Kenneth Muusikus</t>
  </si>
  <si>
    <t>Sander Rose</t>
  </si>
  <si>
    <t>m</t>
  </si>
  <si>
    <t>Oksana Rõndenkova</t>
  </si>
  <si>
    <t>n</t>
  </si>
  <si>
    <t>Oleg Rõndenkov</t>
  </si>
  <si>
    <t>Hillar Neiland</t>
  </si>
  <si>
    <t>Andres Veski</t>
  </si>
  <si>
    <t>Kaspar Mänd</t>
  </si>
  <si>
    <t>Svetlana Veski</t>
  </si>
  <si>
    <t>Urmas Randlaine</t>
  </si>
  <si>
    <t>Tõnis Neiland</t>
  </si>
  <si>
    <t>Henri Mitt</t>
  </si>
  <si>
    <t>Meelis Luud</t>
  </si>
  <si>
    <t>Sirje Maala</t>
  </si>
  <si>
    <t>Olav Türk</t>
  </si>
  <si>
    <t>Tõnu Kapper</t>
  </si>
  <si>
    <t>Jaan Saar</t>
  </si>
  <si>
    <t>Elmo Lageda</t>
  </si>
  <si>
    <t>Ljudmila Varendi</t>
  </si>
  <si>
    <t>Viktor Švarõgin</t>
  </si>
  <si>
    <t>Andrei Grintšak</t>
  </si>
  <si>
    <t>Urmas Jõeäär</t>
  </si>
  <si>
    <t>Oliver Ojasalu</t>
  </si>
  <si>
    <t>j</t>
  </si>
  <si>
    <t>Vadim Tihhonjuk</t>
  </si>
  <si>
    <t>Lemmit Toomra</t>
  </si>
  <si>
    <t>Enn Tokman</t>
  </si>
  <si>
    <t>Boriss Klubov</t>
  </si>
  <si>
    <t>Kristel Tihhonjuk</t>
  </si>
  <si>
    <t>Aleksander Korikov</t>
  </si>
  <si>
    <t>Airi Veski</t>
  </si>
  <si>
    <t>Ronald Jõeäär</t>
  </si>
  <si>
    <t>Heili Vasser</t>
  </si>
  <si>
    <t>Vello Vasser</t>
  </si>
  <si>
    <t>Marta Bernat</t>
  </si>
  <si>
    <t>Tarmo Bombe</t>
  </si>
  <si>
    <t>Vladimir Ogneštšikov</t>
  </si>
  <si>
    <t>Illar Tõnurist</t>
  </si>
  <si>
    <t>Joana Taalberg</t>
  </si>
  <si>
    <t>Melika Lehtla</t>
  </si>
  <si>
    <t>Aarne Välja</t>
  </si>
  <si>
    <t>Aigi Orro</t>
  </si>
  <si>
    <t>Airi Kruusma</t>
  </si>
  <si>
    <t>Aleksandr Tipakov</t>
  </si>
  <si>
    <t>Andres Viisitam</t>
  </si>
  <si>
    <t>Antonina Maksimova</t>
  </si>
  <si>
    <t>Argo Sepp</t>
  </si>
  <si>
    <t>Brigitta Neiland</t>
  </si>
  <si>
    <t>Daniil Alekankin</t>
  </si>
  <si>
    <t>Einar Juhkam</t>
  </si>
  <si>
    <t>Emil Murzajev</t>
  </si>
  <si>
    <t>Eve Müüdla</t>
  </si>
  <si>
    <t>Fredi Müür</t>
  </si>
  <si>
    <t>Henri Müür</t>
  </si>
  <si>
    <t>Jaan Sepp</t>
  </si>
  <si>
    <t>Janek Tarto</t>
  </si>
  <si>
    <t>Jan-Martin Neiland</t>
  </si>
  <si>
    <t>Juhan Enniko</t>
  </si>
  <si>
    <t>Kalle Orro</t>
  </si>
  <si>
    <t>Karla Purgats</t>
  </si>
  <si>
    <t>Karoliina Sild</t>
  </si>
  <si>
    <t>Kati Tuzberg</t>
  </si>
  <si>
    <t>Kevin Sten Liik</t>
  </si>
  <si>
    <t>Kristiin-Marleen Neiland</t>
  </si>
  <si>
    <t>Kristo Viljaste</t>
  </si>
  <si>
    <t>Ksenija Matšneva</t>
  </si>
  <si>
    <t>Liidia Põllu</t>
  </si>
  <si>
    <t>Margus Vasser</t>
  </si>
  <si>
    <t>Matti Vinni</t>
  </si>
  <si>
    <t>Mihkel Palk</t>
  </si>
  <si>
    <t>Natalia Kähärä</t>
  </si>
  <si>
    <t>Oskar Sepp</t>
  </si>
  <si>
    <t>Peep Peenema</t>
  </si>
  <si>
    <t>Raul Mõtus</t>
  </si>
  <si>
    <t>Reimo Lõhmus</t>
  </si>
  <si>
    <t>Romek Tarto</t>
  </si>
  <si>
    <t>Rutt Voldek</t>
  </si>
  <si>
    <t>Sandra Laura Nõmmeloo</t>
  </si>
  <si>
    <t>Silver Kingissepp</t>
  </si>
  <si>
    <t>Sirje Viljaste</t>
  </si>
  <si>
    <t>Taavi Press</t>
  </si>
  <si>
    <t>Tomas Kivestu</t>
  </si>
  <si>
    <t>Toomas Tedrekull</t>
  </si>
  <si>
    <t>Tõnis Anton</t>
  </si>
  <si>
    <t>Uku Kollom</t>
  </si>
  <si>
    <t>Veroonika Mendes</t>
  </si>
  <si>
    <t>Vladimir Mihhailov</t>
  </si>
  <si>
    <t>Väino Aul</t>
  </si>
  <si>
    <t>Osalejaid</t>
  </si>
  <si>
    <t>Võistkondi</t>
  </si>
  <si>
    <t>etapist osavõtt on vajalik finaalturniirile pääsemiseks</t>
  </si>
  <si>
    <t>kehvemat tulemust võetakse maha - mahatõmbamise format kasutab seda</t>
  </si>
  <si>
    <t>sordi selle</t>
  </si>
  <si>
    <t>Esikolmikus</t>
  </si>
  <si>
    <t>Kokku</t>
  </si>
  <si>
    <t>edasi/</t>
  </si>
  <si>
    <t>L***</t>
  </si>
  <si>
    <t>Toila vald</t>
  </si>
  <si>
    <t>T</t>
  </si>
  <si>
    <t>kõik</t>
  </si>
  <si>
    <t>/koht</t>
  </si>
  <si>
    <t>Tartu</t>
  </si>
  <si>
    <t>t</t>
  </si>
  <si>
    <t>SHK</t>
  </si>
  <si>
    <t>Viktoria Mets</t>
  </si>
  <si>
    <t>Peeter Lüdig</t>
  </si>
  <si>
    <t>Järvamaa</t>
  </si>
  <si>
    <t>Veronika Pirk</t>
  </si>
  <si>
    <t>Sander Skrabutenas</t>
  </si>
  <si>
    <t>Alar Peek</t>
  </si>
  <si>
    <t>Alari Keedus</t>
  </si>
  <si>
    <t>Annaliset Neiland</t>
  </si>
  <si>
    <t>Anton Tipakov</t>
  </si>
  <si>
    <t>Aurelia Meldre</t>
  </si>
  <si>
    <t>Daniel Lehtsaar</t>
  </si>
  <si>
    <t>Denis Skrabutenas</t>
  </si>
  <si>
    <t>Irene Võrklaev</t>
  </si>
  <si>
    <t>Wicia</t>
  </si>
  <si>
    <t>Jevgeni Korikov</t>
  </si>
  <si>
    <t>Kevin Muusikus</t>
  </si>
  <si>
    <t>Lydia Skrabutenas</t>
  </si>
  <si>
    <t>Marko Tarassov</t>
  </si>
  <si>
    <t>Martha Aavisto</t>
  </si>
  <si>
    <t>Pavel Grintšak</t>
  </si>
  <si>
    <t>Roland Põld</t>
  </si>
  <si>
    <t>Võit</t>
  </si>
  <si>
    <t>punkti</t>
  </si>
  <si>
    <t>Viik</t>
  </si>
  <si>
    <t>Kaotus</t>
  </si>
  <si>
    <t>Kõik mängud algasid seisult 1:1</t>
  </si>
  <si>
    <t>Kui mängija nimi on vigane või puudub reitingutabelist, teeb punaseks</t>
  </si>
  <si>
    <t>1. voor</t>
  </si>
  <si>
    <t>2. voor</t>
  </si>
  <si>
    <t>3. voor</t>
  </si>
  <si>
    <t>4. voor</t>
  </si>
  <si>
    <t>5. voor</t>
  </si>
  <si>
    <t>Buch</t>
  </si>
  <si>
    <t>Fine B.</t>
  </si>
  <si>
    <t>Suhe</t>
  </si>
  <si>
    <t>+/-</t>
  </si>
  <si>
    <t>enne 1 koma</t>
  </si>
  <si>
    <t>pärast 1 koma</t>
  </si>
  <si>
    <t>1 ja 2 koma vahel</t>
  </si>
  <si>
    <t>pärast 2 koma</t>
  </si>
  <si>
    <t>2 ja 3 koma vahel</t>
  </si>
  <si>
    <t>pärast 3 koma</t>
  </si>
  <si>
    <t>:</t>
  </si>
  <si>
    <t>Jaan Saar, Sirje Maala</t>
  </si>
  <si>
    <t>vaba voor</t>
  </si>
  <si>
    <t>Punkte</t>
  </si>
  <si>
    <t>Kenneth Muusikus, Tõnis Neiland, Urmas Jõeäär</t>
  </si>
  <si>
    <t>Elmo Lageda, Meelis Luud</t>
  </si>
  <si>
    <t>Aleksander Korikov, Oksana Rõndenkova</t>
  </si>
  <si>
    <t>Ivar Viljaste, Kristo Viljaste</t>
  </si>
  <si>
    <t>Kaspar Mänd, Olav Türk</t>
  </si>
  <si>
    <t>Andrei Grintšak, Enn Tokman</t>
  </si>
  <si>
    <t>Kristel Tihhonjuk, Vadim Tihhonjuk</t>
  </si>
  <si>
    <t>Oleg Rõndenkov, Sander Rose</t>
  </si>
  <si>
    <t>Henri Mitt, Urmas Randlaine</t>
  </si>
  <si>
    <t>Aarne Välja, Janek Tarto</t>
  </si>
  <si>
    <t>Lemmit Toomra, Liidia Põllu</t>
  </si>
  <si>
    <t>Johannes Neiland, Tõnu Kapper</t>
  </si>
  <si>
    <t>3. etapp, DUO</t>
  </si>
  <si>
    <t>4. etapp, DUO</t>
  </si>
  <si>
    <t>5. etapp, DUO</t>
  </si>
  <si>
    <t>6. etapp, DUO</t>
  </si>
  <si>
    <t>7. etapp, DUO</t>
  </si>
  <si>
    <t>8. etapp, DUO</t>
  </si>
  <si>
    <t>9. etapp, DUO</t>
  </si>
  <si>
    <t>10. etapp, DUO</t>
  </si>
  <si>
    <t>K, 07.06.2023</t>
  </si>
  <si>
    <t>P, 11.06.2023</t>
  </si>
  <si>
    <t>L, 16.09.2023</t>
  </si>
  <si>
    <t>L, 30.09.2023</t>
  </si>
  <si>
    <t>K, 21.06.2023</t>
  </si>
  <si>
    <t>K, 05.07.2023</t>
  </si>
  <si>
    <t>K, 19.07.2023</t>
  </si>
  <si>
    <t>P, 30.07.2023</t>
  </si>
  <si>
    <t>K, 16.08.2023</t>
  </si>
  <si>
    <t>K, 23.08.2023</t>
  </si>
  <si>
    <t>K, 02.08.2023</t>
  </si>
  <si>
    <t>Eesti reitinguvõistlused (Eesti MV-d) on rasvases trükis. Maha võetakse 1 kehvem tulemus.</t>
  </si>
  <si>
    <t>Voka 22. muruturniir</t>
  </si>
  <si>
    <t>L, 10.06.2023</t>
  </si>
  <si>
    <t>Kohtla-Järve SHK</t>
  </si>
  <si>
    <t>3 / 5 €</t>
  </si>
  <si>
    <t>TOILA VALLA LAHTISED MV-d PETANGIS 2023</t>
  </si>
  <si>
    <t>Juhend</t>
  </si>
  <si>
    <t>Võistlused toimuvad Voka staadionile rajatud petangiväljakutel juuni 2023 – september 2023.</t>
  </si>
  <si>
    <t>Osalema lubatakse kõik huvilised, kes on ennast võistlustele registreerinud ja eelnevalt tasunud osalustasu.</t>
  </si>
  <si>
    <t>Võistlussüsteem vastavalt osalejate arvule.</t>
  </si>
  <si>
    <t>Võistluste tulemused on jälgitavad turna.ee lehel.</t>
  </si>
  <si>
    <t>I–III kohale tulnuid autasustatakse medali ja auhinnaga.</t>
  </si>
  <si>
    <t>Osalustasu (Toila valla elanikele ja Viru SK liikmetele 3 €, teistele 5 €)  tasutakse kohapeal.</t>
  </si>
  <si>
    <t>Osalustasust on vabastatud noored kuni 18 a (kaasa arvatud).</t>
  </si>
  <si>
    <t>Registreerimine DUO-le lõppeb 09.06.2023 kell 21.00 e-post viruspordiklubi@gmail.com või telefon 53757705.</t>
  </si>
  <si>
    <t>Registreerimine ÜKSIKMÄNGULE ja TRIOLE lõppeb 15 minutit enne võistluste algust.</t>
  </si>
  <si>
    <t>Kõik üleskerkinud küsimused ja protestid lahendab peakohtunik.</t>
  </si>
  <si>
    <t>Tegemist on avaliku üritusega, kus võidakse pildistada ja neid pilte avalikustada.</t>
  </si>
  <si>
    <t>Tere tulemast Toila valla  lahtistele meistrivõistlustele petangi!</t>
  </si>
  <si>
    <t xml:space="preserve"> - Võistluste eesmärgiks on välja selgitada parimad mängijad.</t>
  </si>
  <si>
    <t xml:space="preserve"> - Petangi arendamine ja propageerimine.</t>
  </si>
  <si>
    <t xml:space="preserve"> - Meisterlikkuse tõstmine ja spordiharrastuse aktiviseerimine läbi petangi mängimise.</t>
  </si>
  <si>
    <t xml:space="preserve"> - DUO – 11.06.2023, algus kell 10.00 (võistlus on ka EPKL-i kalendris).</t>
  </si>
  <si>
    <t xml:space="preserve"> - ÜKSIKMÄNG – 16.09.2023, algus kell 11.00.</t>
  </si>
  <si>
    <t xml:space="preserve"> - TRIO – 30.09.2023, algus kell 11.00.</t>
  </si>
  <si>
    <t xml:space="preserve"> - Peakorraldaja on Viru SK koos Toila valla spordi- ja kultuurikeskusega.</t>
  </si>
  <si>
    <t xml:space="preserve"> - Peakohtunik on Juhan Neiland, tel 5375 7705.</t>
  </si>
  <si>
    <t xml:space="preserve"> - Tervisliku seisundi eest vastutab sportlane ise.</t>
  </si>
  <si>
    <t>1. Eesmärk</t>
  </si>
  <si>
    <t>2. Aeg ja koht</t>
  </si>
  <si>
    <t>3. Juhtimine</t>
  </si>
  <si>
    <t>4. Osavõtjad</t>
  </si>
  <si>
    <t>5. Võistlussüsteem</t>
  </si>
  <si>
    <t>6. Autasustamine</t>
  </si>
  <si>
    <t>7. Majandamine</t>
  </si>
  <si>
    <t>8. Registreerimine</t>
  </si>
  <si>
    <t>9. Üleskerkinud küsimuste lahendamine</t>
  </si>
  <si>
    <t>Andres Veski, Meelis Luud</t>
  </si>
  <si>
    <t>Jaan Saar, Liidia Põllu</t>
  </si>
  <si>
    <t>Ljudmila Varendi, Viktor Švarõgin</t>
  </si>
  <si>
    <t>Kenneth Muusikus, Urmas Jõeäär</t>
  </si>
  <si>
    <t>Vlad Arzantsev, Nikolai Arzantsev</t>
  </si>
  <si>
    <t>Ivar Viljaste, Matti Vinni</t>
  </si>
  <si>
    <t>Peep Peenema, Sirje Maala</t>
  </si>
  <si>
    <t>Enn Tokman, Viktoria Mets</t>
  </si>
  <si>
    <t>Jaan Sepp, Oskar Sepp</t>
  </si>
  <si>
    <t>Boriss Klubov, Elmo Lageda</t>
  </si>
  <si>
    <t>Lemmit Toomra, Tõnu Kapper</t>
  </si>
  <si>
    <t>Vlad Arzantsev</t>
  </si>
  <si>
    <t>Nikolai Arzantsev</t>
  </si>
  <si>
    <t>Narva</t>
  </si>
  <si>
    <t xml:space="preserve">Ljudmila Varendi, Viktor Švarõgin </t>
  </si>
  <si>
    <t>Jaan Saar, Viktoria Mets</t>
  </si>
  <si>
    <t>Hillar Neiland, Marko Rooden</t>
  </si>
  <si>
    <t>Meelis Luud, Urmas Randlaine</t>
  </si>
  <si>
    <t>Olav Türk, Sirje Maala</t>
  </si>
  <si>
    <t>Kaspar Mänd, Matti Vinni</t>
  </si>
  <si>
    <t>Johannes Neiland, Vlad Arzantsev</t>
  </si>
  <si>
    <t>Andres Veski, Svetlana Veski</t>
  </si>
  <si>
    <t>Marko Rooden</t>
  </si>
  <si>
    <t>Kenneth Muusikus, Tõnis Neiland</t>
  </si>
  <si>
    <t>Martin Kuusman</t>
  </si>
  <si>
    <t>Anneli Suits</t>
  </si>
  <si>
    <t>Rein Rothberg</t>
  </si>
  <si>
    <t>Enn Lehtpuu</t>
  </si>
  <si>
    <t>Taimo Lepp</t>
  </si>
  <si>
    <t>Üksiku</t>
  </si>
  <si>
    <t>punktid</t>
  </si>
  <si>
    <t>Martin Kuusmann</t>
  </si>
  <si>
    <t>Kohtla-Nõmme</t>
  </si>
  <si>
    <t>2. Maidu karikas. Tšaka hopp!</t>
  </si>
  <si>
    <t>Hillar Neiland, Kaspar Mänd</t>
  </si>
  <si>
    <t>Johannes Neiland, Urmas Randlaine</t>
  </si>
  <si>
    <t>Kenneth Muusikus, Sander Rose</t>
  </si>
  <si>
    <t>Illar Tõnurist, Tarmo Bombe</t>
  </si>
  <si>
    <t>Daniil Alekankin, Sergei Lošajets</t>
  </si>
  <si>
    <t>Liidia Põllu, Veronika Pirk</t>
  </si>
  <si>
    <t>Marko Rooden, Martin Kuusmann</t>
  </si>
  <si>
    <t>Sergei Lošajets</t>
  </si>
  <si>
    <t>Olav Türk, Urmas Jõeäär</t>
  </si>
  <si>
    <t>Illar Tõnurist, Jüri Mitt</t>
  </si>
  <si>
    <t>Kenneth Muusikus, Viktoria Mets</t>
  </si>
  <si>
    <t>David Arzantsev, Nikolai Arzantsev</t>
  </si>
  <si>
    <t>Marko Rooden, Martin Kuusman</t>
  </si>
  <si>
    <t>David Arzantsev</t>
  </si>
  <si>
    <t>Jüri Mitt</t>
  </si>
  <si>
    <t>Elmo Lageda, Olav Türk</t>
  </si>
  <si>
    <t>Oliver Ojasalu, Tõnis Neiland</t>
  </si>
  <si>
    <t>Emil Murzajev, Viktor Švarõgin</t>
  </si>
  <si>
    <t>Hillar Neiland, Tõnu Kapper</t>
  </si>
  <si>
    <t>David Arzantsev, Vlad Arzantsev</t>
  </si>
  <si>
    <t>Heili Vasser, Vello Vasser</t>
  </si>
  <si>
    <t>Aleksander Korikov, Jevgeni Korikov</t>
  </si>
  <si>
    <t>Kenneth Muusikus, Oliver Ojasalu, Tõnis Neiland</t>
  </si>
  <si>
    <t>Aigi Orro, Kalle Orro</t>
  </si>
  <si>
    <t>Elmo Lageda, Veronika Pirk</t>
  </si>
  <si>
    <t>Peeter Lüdig, Sirje Maala</t>
  </si>
  <si>
    <t>Ivar Viljaste, Kaspar Mänd</t>
  </si>
  <si>
    <t>Andrei Grintšak, Hillar Neiland</t>
  </si>
  <si>
    <t>Aleksandr Korikov, Oleg Rõndenkov</t>
  </si>
  <si>
    <t>Johannes Neiland, Urmas Randlaine, Veronika Pirk</t>
  </si>
  <si>
    <t>Andrei Grintšak, Jaan Saar</t>
  </si>
  <si>
    <t>Aleksander Korikov, Sander Rose</t>
  </si>
  <si>
    <t>Aleksander Korikov, Oleg Rõndenkov, Sander Rose</t>
  </si>
  <si>
    <t>Sirje Maala, Viktoria Mets</t>
  </si>
  <si>
    <t>Jüri Mitt, Tarmo Bombe</t>
  </si>
  <si>
    <t xml:space="preserve">Olav Türk, Urmas Jõeäär </t>
  </si>
  <si>
    <t>Ivar Viljaste, Jaan Sepp</t>
  </si>
  <si>
    <t>Andres Veski  Svetlana Veski</t>
  </si>
  <si>
    <t>P, 03.09.2023</t>
  </si>
  <si>
    <t>Seisuga 31.08.2023</t>
  </si>
  <si>
    <t>Johannes Neiland, Veronika Pirk</t>
  </si>
  <si>
    <t>6. voor</t>
  </si>
  <si>
    <t>Juhan Neiland</t>
  </si>
  <si>
    <t>A.Korikov</t>
  </si>
  <si>
    <t>Boriss Klubov, Elmo Lageda, Enn Tokman</t>
  </si>
  <si>
    <t>Ivar Viljaste, Kaspar Mänd, Matti Vinni</t>
  </si>
  <si>
    <t>Jaan Sepp, Meelis Luud, Oskar Sepp</t>
  </si>
  <si>
    <t>Olav Türk, Sander Rose, Sirje Maala</t>
  </si>
  <si>
    <t>Andrei Grintšak, Kristel Tihhonjuk, Vadim Tihhonjuk</t>
  </si>
  <si>
    <t>Andres Veski, Marta Bernat, Svetlana Veski</t>
  </si>
  <si>
    <t>Jaan Saar, Ljudmila Varendi, Viktor Švarõgin</t>
  </si>
  <si>
    <r>
      <rPr>
        <b/>
        <sz val="10"/>
        <color theme="0" tint="-0.499984740745262"/>
        <rFont val="Arial"/>
        <family val="2"/>
        <charset val="186"/>
      </rPr>
      <t>ÜK</t>
    </r>
    <r>
      <rPr>
        <b/>
        <sz val="10"/>
        <rFont val="Arial"/>
        <family val="2"/>
        <charset val="186"/>
      </rPr>
      <t xml:space="preserve">SIK </t>
    </r>
    <r>
      <rPr>
        <b/>
        <sz val="10"/>
        <color theme="9" tint="-0.249977111117893"/>
        <rFont val="Arial"/>
        <family val="2"/>
        <charset val="186"/>
      </rPr>
      <t>(55+)</t>
    </r>
  </si>
  <si>
    <r>
      <rPr>
        <sz val="10"/>
        <rFont val="Arial"/>
        <family val="2"/>
        <charset val="186"/>
      </rPr>
      <t>ÜKSIK</t>
    </r>
    <r>
      <rPr>
        <sz val="10"/>
        <color theme="0" tint="-0.499984740745262"/>
        <rFont val="Arial"/>
        <family val="2"/>
        <charset val="186"/>
      </rPr>
      <t xml:space="preserve">        </t>
    </r>
    <r>
      <rPr>
        <sz val="10"/>
        <color rgb="FF0070C0"/>
        <rFont val="Arial"/>
        <family val="2"/>
        <charset val="186"/>
      </rPr>
      <t>Tšaka hopp!</t>
    </r>
  </si>
  <si>
    <r>
      <t xml:space="preserve">DUO </t>
    </r>
    <r>
      <rPr>
        <b/>
        <sz val="10"/>
        <color theme="9" tint="-0.249977111117893"/>
        <rFont val="Arial"/>
        <family val="2"/>
        <charset val="186"/>
      </rPr>
      <t>(55+)</t>
    </r>
  </si>
  <si>
    <t>Lucavsalas (Läti)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</si>
</sst>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;[Red]\-#,##0\ [$€-1]"/>
  </numFmts>
  <fonts count="66" x14ac:knownFonts="1"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u/>
      <sz val="10"/>
      <color theme="10"/>
      <name val="Arial"/>
      <family val="2"/>
      <charset val="186"/>
    </font>
    <font>
      <u/>
      <sz val="10"/>
      <name val="Arial"/>
      <family val="2"/>
      <charset val="186"/>
    </font>
    <font>
      <sz val="10"/>
      <color rgb="FF00000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u/>
      <sz val="10"/>
      <name val="Arial"/>
      <family val="2"/>
      <charset val="186"/>
    </font>
    <font>
      <u/>
      <sz val="10"/>
      <color theme="1"/>
      <name val="Arial"/>
      <family val="2"/>
      <charset val="186"/>
    </font>
    <font>
      <i/>
      <u/>
      <sz val="10"/>
      <color theme="8" tint="0.39997558519241921"/>
      <name val="Arial"/>
      <family val="2"/>
      <charset val="186"/>
    </font>
    <font>
      <i/>
      <sz val="10"/>
      <color theme="8" tint="0.39997558519241921"/>
      <name val="Arial"/>
      <family val="2"/>
      <charset val="186"/>
    </font>
    <font>
      <b/>
      <sz val="10"/>
      <color theme="9" tint="-0.249977111117893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i/>
      <sz val="10"/>
      <name val="Arial"/>
      <family val="2"/>
      <charset val="186"/>
    </font>
    <font>
      <b/>
      <sz val="10"/>
      <color theme="0" tint="-0.499984740745262"/>
      <name val="Arial"/>
      <family val="2"/>
      <charset val="186"/>
    </font>
    <font>
      <b/>
      <sz val="10"/>
      <color rgb="FFC00000"/>
      <name val="Arial"/>
      <family val="2"/>
      <charset val="186"/>
    </font>
    <font>
      <i/>
      <u/>
      <sz val="10"/>
      <name val="Arial"/>
      <family val="2"/>
      <charset val="186"/>
    </font>
    <font>
      <sz val="10"/>
      <name val="Arial"/>
      <family val="2"/>
      <charset val="204"/>
    </font>
    <font>
      <b/>
      <sz val="8"/>
      <color indexed="81"/>
      <name val="Tahoma"/>
      <family val="2"/>
      <charset val="186"/>
    </font>
    <font>
      <u/>
      <sz val="10"/>
      <color theme="10"/>
      <name val="Times New Roman"/>
      <family val="1"/>
      <charset val="186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rgb="FF000000"/>
      <name val="Calibri"/>
      <family val="2"/>
      <scheme val="minor"/>
    </font>
    <font>
      <sz val="8"/>
      <color indexed="8"/>
      <name val="Arial Narrow"/>
      <family val="2"/>
      <charset val="186"/>
    </font>
    <font>
      <b/>
      <u/>
      <sz val="10"/>
      <color theme="10"/>
      <name val="Arial"/>
      <family val="2"/>
      <charset val="186"/>
    </font>
    <font>
      <sz val="10"/>
      <color theme="0" tint="-0.499984740745262"/>
      <name val="Arial"/>
      <family val="2"/>
      <charset val="186"/>
    </font>
    <font>
      <strike/>
      <sz val="10"/>
      <name val="Arial"/>
      <family val="2"/>
      <charset val="186"/>
    </font>
    <font>
      <b/>
      <u/>
      <sz val="10"/>
      <color theme="0" tint="-0.499984740745262"/>
      <name val="Arial"/>
      <family val="2"/>
      <charset val="186"/>
    </font>
    <font>
      <u/>
      <sz val="10"/>
      <color theme="0" tint="-0.499984740745262"/>
      <name val="Arial"/>
      <family val="2"/>
      <charset val="186"/>
    </font>
    <font>
      <strike/>
      <sz val="10"/>
      <color rgb="FF000000"/>
      <name val="Arial"/>
      <family val="2"/>
      <charset val="186"/>
    </font>
    <font>
      <strike/>
      <u/>
      <sz val="10"/>
      <color theme="1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rgb="FFCC0000"/>
      <name val="Arial"/>
      <family val="2"/>
      <charset val="186"/>
    </font>
    <font>
      <i/>
      <sz val="10"/>
      <color theme="1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theme="0" tint="-0.34998626667073579"/>
      <name val="Arial"/>
      <family val="2"/>
      <charset val="186"/>
    </font>
    <font>
      <b/>
      <sz val="10"/>
      <color theme="1"/>
      <name val="Calibri"/>
      <family val="2"/>
      <charset val="186"/>
      <scheme val="minor"/>
    </font>
    <font>
      <b/>
      <sz val="8"/>
      <color rgb="FF0070C0"/>
      <name val="Arial"/>
      <family val="2"/>
      <charset val="186"/>
    </font>
    <font>
      <sz val="10"/>
      <color theme="0" tint="-0.34998626667073579"/>
      <name val="Arial"/>
      <family val="2"/>
      <charset val="186"/>
    </font>
    <font>
      <b/>
      <sz val="8"/>
      <color theme="2" tint="-0.499984740745262"/>
      <name val="Arial"/>
      <family val="2"/>
      <charset val="186"/>
    </font>
    <font>
      <b/>
      <sz val="10"/>
      <color rgb="FF00B0F0"/>
      <name val="Arial"/>
      <family val="2"/>
      <charset val="186"/>
    </font>
    <font>
      <b/>
      <sz val="10"/>
      <color rgb="FFCC0066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10"/>
      <color rgb="FFCC0000"/>
      <name val="Arial"/>
      <family val="2"/>
      <charset val="186"/>
    </font>
    <font>
      <b/>
      <sz val="10"/>
      <color theme="2" tint="-0.499984740745262"/>
      <name val="Arial"/>
      <family val="2"/>
      <charset val="186"/>
    </font>
    <font>
      <b/>
      <sz val="10"/>
      <color rgb="FF0070C0"/>
      <name val="Arial"/>
      <family val="2"/>
      <charset val="186"/>
    </font>
    <font>
      <b/>
      <sz val="10"/>
      <color theme="0" tint="-0.14999847407452621"/>
      <name val="Arial"/>
      <family val="2"/>
      <charset val="186"/>
    </font>
    <font>
      <sz val="10"/>
      <color theme="0" tint="-0.14999847407452621"/>
      <name val="Arial"/>
      <family val="2"/>
      <charset val="186"/>
    </font>
    <font>
      <sz val="8"/>
      <color indexed="81"/>
      <name val="Tahoma"/>
      <family val="2"/>
      <charset val="186"/>
    </font>
    <font>
      <b/>
      <sz val="9"/>
      <color theme="1"/>
      <name val="Arial"/>
      <family val="2"/>
      <charset val="186"/>
    </font>
    <font>
      <b/>
      <sz val="10"/>
      <color rgb="FFCC0000"/>
      <name val="Calibri"/>
      <family val="2"/>
      <charset val="186"/>
      <scheme val="minor"/>
    </font>
    <font>
      <b/>
      <sz val="10"/>
      <color theme="0" tint="-0.249977111117893"/>
      <name val="Arial"/>
      <family val="2"/>
      <charset val="186"/>
    </font>
    <font>
      <sz val="10"/>
      <color rgb="FF00B050"/>
      <name val="Arial"/>
      <family val="2"/>
      <charset val="186"/>
    </font>
    <font>
      <sz val="10"/>
      <color theme="2" tint="-0.499984740745262"/>
      <name val="Arial"/>
      <family val="2"/>
      <charset val="186"/>
    </font>
    <font>
      <i/>
      <sz val="10"/>
      <color theme="0" tint="-0.499984740745262"/>
      <name val="Arial"/>
      <family val="2"/>
      <charset val="186"/>
    </font>
    <font>
      <u/>
      <sz val="10"/>
      <color rgb="FF0000FF"/>
      <name val="Arial"/>
      <family val="2"/>
      <charset val="186"/>
    </font>
    <font>
      <i/>
      <u/>
      <sz val="10"/>
      <color theme="8" tint="-0.249977111117893"/>
      <name val="Arial"/>
      <family val="2"/>
      <charset val="186"/>
    </font>
    <font>
      <i/>
      <sz val="10"/>
      <color theme="8" tint="-0.249977111117893"/>
      <name val="Arial"/>
      <family val="2"/>
      <charset val="186"/>
    </font>
    <font>
      <u/>
      <sz val="10"/>
      <color theme="8" tint="-0.249977111117893"/>
      <name val="Arial"/>
      <family val="2"/>
      <charset val="186"/>
    </font>
    <font>
      <sz val="10"/>
      <color theme="8" tint="-0.249977111117893"/>
      <name val="Arial"/>
      <family val="2"/>
      <charset val="186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CCFF"/>
        <bgColor indexed="64"/>
      </patternFill>
    </fill>
  </fills>
  <borders count="1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 style="medium">
        <color rgb="FF000000"/>
      </left>
      <right/>
      <top style="medium">
        <color auto="1"/>
      </top>
      <bottom/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medium">
        <color indexed="8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auto="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rgb="FF00000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8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8"/>
      </right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theme="0" tint="-0.24994659260841701"/>
      </left>
      <right/>
      <top style="medium">
        <color rgb="FF000000"/>
      </top>
      <bottom style="thin">
        <color theme="0" tint="-0.2499465926084170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theme="0" tint="-0.24994659260841701"/>
      </left>
      <right style="medium">
        <color rgb="FF000000"/>
      </right>
      <top style="medium">
        <color rgb="FF000000"/>
      </top>
      <bottom style="thin">
        <color theme="0" tint="-0.2499465926084170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theme="0" tint="-0.24994659260841701"/>
      </left>
      <right style="medium">
        <color indexed="8"/>
      </right>
      <top style="medium">
        <color indexed="8"/>
      </top>
      <bottom style="thin">
        <color theme="0" tint="-0.24994659260841701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theme="1"/>
      </right>
      <top/>
      <bottom style="medium">
        <color indexed="8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dashDot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dashDot">
        <color rgb="FF000000"/>
      </bottom>
      <diagonal/>
    </border>
    <border>
      <left/>
      <right style="medium">
        <color rgb="FF000000"/>
      </right>
      <top/>
      <bottom style="dashDot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dashDot">
        <color auto="1"/>
      </top>
      <bottom/>
      <diagonal/>
    </border>
    <border>
      <left/>
      <right/>
      <top/>
      <bottom style="dashDot">
        <color auto="1"/>
      </bottom>
      <diagonal/>
    </border>
    <border>
      <left style="thin">
        <color theme="0" tint="-0.24994659260841701"/>
      </left>
      <right style="medium">
        <color auto="1"/>
      </right>
      <top style="medium">
        <color rgb="FF00000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000000"/>
      </right>
      <top style="medium">
        <color rgb="FF000000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rgb="FF000000"/>
      </right>
      <top/>
      <bottom style="thin">
        <color theme="0" tint="-0.24994659260841701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dashDot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theme="0" tint="-0.24994659260841701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auto="1"/>
      </top>
      <bottom/>
      <diagonal/>
    </border>
    <border>
      <left style="thin">
        <color theme="0" tint="-0.24994659260841701"/>
      </left>
      <right style="medium">
        <color rgb="FF000000"/>
      </right>
      <top style="medium">
        <color auto="1"/>
      </top>
      <bottom style="thin">
        <color theme="0" tint="-0.2499465926084170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rgb="FF000000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ashDot">
        <color rgb="FF000000"/>
      </bottom>
      <diagonal/>
    </border>
    <border>
      <left style="medium">
        <color auto="1"/>
      </left>
      <right/>
      <top/>
      <bottom style="dashDot">
        <color rgb="FF000000"/>
      </bottom>
      <diagonal/>
    </border>
    <border>
      <left/>
      <right style="medium">
        <color auto="1"/>
      </right>
      <top/>
      <bottom style="dashDot">
        <color rgb="FF000000"/>
      </bottom>
      <diagonal/>
    </border>
    <border>
      <left style="medium">
        <color rgb="FF000000"/>
      </left>
      <right/>
      <top style="dashDot">
        <color rgb="FF000000"/>
      </top>
      <bottom style="thin">
        <color theme="8" tint="0.39994506668294322"/>
      </bottom>
      <diagonal/>
    </border>
    <border>
      <left/>
      <right/>
      <top style="dashDot">
        <color rgb="FF000000"/>
      </top>
      <bottom style="thin">
        <color theme="8" tint="0.39994506668294322"/>
      </bottom>
      <diagonal/>
    </border>
    <border>
      <left/>
      <right style="medium">
        <color auto="1"/>
      </right>
      <top style="dashDot">
        <color rgb="FF000000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medium">
        <color auto="1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 style="medium">
        <color rgb="FF000000"/>
      </left>
      <right/>
      <top style="dashDotDot">
        <color rgb="FF000000"/>
      </top>
      <bottom style="thin">
        <color theme="8" tint="0.39994506668294322"/>
      </bottom>
      <diagonal/>
    </border>
    <border>
      <left/>
      <right/>
      <top style="dashDotDot">
        <color rgb="FF000000"/>
      </top>
      <bottom style="thin">
        <color theme="8" tint="0.39994506668294322"/>
      </bottom>
      <diagonal/>
    </border>
    <border>
      <left/>
      <right style="medium">
        <color rgb="FF000000"/>
      </right>
      <top style="dashDotDot">
        <color rgb="FF000000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medium">
        <color rgb="FF000000"/>
      </bottom>
      <diagonal/>
    </border>
    <border>
      <left/>
      <right style="medium">
        <color rgb="FF000000"/>
      </right>
      <top style="thin">
        <color theme="8" tint="0.39994506668294322"/>
      </top>
      <bottom style="medium">
        <color rgb="FF000000"/>
      </bottom>
      <diagonal/>
    </border>
    <border>
      <left style="medium">
        <color rgb="FF000000"/>
      </left>
      <right/>
      <top style="thin">
        <color theme="8" tint="0.39994506668294322"/>
      </top>
      <bottom style="medium">
        <color indexed="64"/>
      </bottom>
      <diagonal/>
    </border>
    <border>
      <left/>
      <right style="medium">
        <color rgb="FF000000"/>
      </right>
      <top style="thin">
        <color theme="8" tint="0.39994506668294322"/>
      </top>
      <bottom style="medium">
        <color indexed="64"/>
      </bottom>
      <diagonal/>
    </border>
    <border>
      <left style="thin">
        <color theme="0" tint="-0.24994659260841701"/>
      </left>
      <right style="thick">
        <color auto="1"/>
      </right>
      <top/>
      <bottom style="thin">
        <color theme="0" tint="-0.24994659260841701"/>
      </bottom>
      <diagonal/>
    </border>
    <border>
      <left style="medium">
        <color auto="1"/>
      </left>
      <right/>
      <top style="dashDotDot">
        <color auto="1"/>
      </top>
      <bottom style="thin">
        <color theme="8" tint="0.59996337778862885"/>
      </bottom>
      <diagonal/>
    </border>
    <border>
      <left/>
      <right/>
      <top style="dashDotDot">
        <color auto="1"/>
      </top>
      <bottom style="thin">
        <color theme="8" tint="0.59996337778862885"/>
      </bottom>
      <diagonal/>
    </border>
    <border>
      <left/>
      <right style="medium">
        <color rgb="FF000000"/>
      </right>
      <top style="dashDotDot">
        <color auto="1"/>
      </top>
      <bottom style="thin">
        <color theme="8" tint="0.59996337778862885"/>
      </bottom>
      <diagonal/>
    </border>
    <border>
      <left style="medium">
        <color auto="1"/>
      </left>
      <right/>
      <top style="thin">
        <color theme="8" tint="0.59996337778862885"/>
      </top>
      <bottom style="medium">
        <color auto="1"/>
      </bottom>
      <diagonal/>
    </border>
    <border>
      <left/>
      <right/>
      <top style="thin">
        <color theme="8" tint="0.59996337778862885"/>
      </top>
      <bottom style="medium">
        <color auto="1"/>
      </bottom>
      <diagonal/>
    </border>
    <border>
      <left/>
      <right style="medium">
        <color rgb="FF000000"/>
      </right>
      <top style="thin">
        <color theme="8" tint="0.59996337778862885"/>
      </top>
      <bottom style="medium">
        <color auto="1"/>
      </bottom>
      <diagonal/>
    </border>
    <border>
      <left style="medium">
        <color rgb="FF000000"/>
      </left>
      <right/>
      <top style="thin">
        <color theme="8" tint="0.39994506668294322"/>
      </top>
      <bottom style="medium">
        <color rgb="FF000000"/>
      </bottom>
      <diagonal/>
    </border>
    <border>
      <left style="thin">
        <color theme="0" tint="-0.24994659260841701"/>
      </left>
      <right style="medium">
        <color rgb="FF000000"/>
      </right>
      <top style="medium">
        <color auto="1"/>
      </top>
      <bottom/>
      <diagonal/>
    </border>
    <border>
      <left/>
      <right/>
      <top style="dashDot">
        <color auto="1"/>
      </top>
      <bottom style="thin">
        <color theme="8" tint="0.39994506668294322"/>
      </bottom>
      <diagonal/>
    </border>
    <border>
      <left/>
      <right/>
      <top style="dashDotDot">
        <color auto="1"/>
      </top>
      <bottom style="thin">
        <color theme="8" tint="0.39994506668294322"/>
      </bottom>
      <diagonal/>
    </border>
    <border>
      <left/>
      <right style="medium">
        <color rgb="FF000000"/>
      </right>
      <top style="dashDotDot">
        <color auto="1"/>
      </top>
      <bottom style="thin">
        <color theme="8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dashDotDot">
        <color rgb="FF000000"/>
      </bottom>
      <diagonal/>
    </border>
    <border>
      <left/>
      <right style="medium">
        <color rgb="FF000000"/>
      </right>
      <top/>
      <bottom style="dashDotDot">
        <color rgb="FF000000"/>
      </bottom>
      <diagonal/>
    </border>
    <border>
      <left/>
      <right/>
      <top/>
      <bottom style="dashDotDot">
        <color rgb="FF000000"/>
      </bottom>
      <diagonal/>
    </border>
    <border>
      <left/>
      <right/>
      <top style="thin">
        <color theme="8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164" fontId="0" fillId="0" borderId="0"/>
    <xf numFmtId="164" fontId="4" fillId="0" borderId="0"/>
    <xf numFmtId="164" fontId="7" fillId="0" borderId="0" applyNumberFormat="0" applyFill="0" applyBorder="0" applyAlignment="0" applyProtection="0"/>
    <xf numFmtId="164" fontId="9" fillId="0" borderId="0"/>
    <xf numFmtId="164" fontId="10" fillId="0" borderId="0"/>
    <xf numFmtId="164" fontId="4" fillId="0" borderId="0"/>
    <xf numFmtId="164" fontId="4" fillId="0" borderId="0"/>
    <xf numFmtId="164" fontId="4" fillId="0" borderId="0"/>
    <xf numFmtId="164" fontId="1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21" fillId="0" borderId="0"/>
    <xf numFmtId="164" fontId="16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164" fontId="23" fillId="0" borderId="0" applyNumberFormat="0" applyFill="0" applyBorder="0" applyAlignment="0" applyProtection="0"/>
    <xf numFmtId="164" fontId="1" fillId="0" borderId="0"/>
    <xf numFmtId="164" fontId="24" fillId="0" borderId="0"/>
    <xf numFmtId="164" fontId="9" fillId="0" borderId="0"/>
    <xf numFmtId="164" fontId="9" fillId="0" borderId="0"/>
    <xf numFmtId="164" fontId="21" fillId="0" borderId="0"/>
    <xf numFmtId="164" fontId="21" fillId="0" borderId="0"/>
    <xf numFmtId="164" fontId="9" fillId="0" borderId="0"/>
    <xf numFmtId="164" fontId="25" fillId="0" borderId="0"/>
    <xf numFmtId="164" fontId="21" fillId="0" borderId="0"/>
    <xf numFmtId="164" fontId="10" fillId="0" borderId="0"/>
    <xf numFmtId="164" fontId="4" fillId="0" borderId="0"/>
    <xf numFmtId="164" fontId="4" fillId="0" borderId="0"/>
    <xf numFmtId="164" fontId="26" fillId="0" borderId="0"/>
    <xf numFmtId="164" fontId="5" fillId="0" borderId="0"/>
    <xf numFmtId="164" fontId="5" fillId="0" borderId="0"/>
    <xf numFmtId="164" fontId="24" fillId="0" borderId="0"/>
    <xf numFmtId="164" fontId="26" fillId="0" borderId="0"/>
    <xf numFmtId="164" fontId="9" fillId="0" borderId="0"/>
    <xf numFmtId="164" fontId="26" fillId="0" borderId="0"/>
    <xf numFmtId="164" fontId="4" fillId="0" borderId="0"/>
    <xf numFmtId="164" fontId="4" fillId="0" borderId="0"/>
    <xf numFmtId="164" fontId="4" fillId="0" borderId="0"/>
    <xf numFmtId="164" fontId="26" fillId="0" borderId="0"/>
    <xf numFmtId="164" fontId="26" fillId="0" borderId="0"/>
    <xf numFmtId="164" fontId="26" fillId="0" borderId="0"/>
    <xf numFmtId="164" fontId="27" fillId="0" borderId="0"/>
    <xf numFmtId="164" fontId="26" fillId="0" borderId="0"/>
    <xf numFmtId="164" fontId="5" fillId="0" borderId="0"/>
    <xf numFmtId="164" fontId="4" fillId="0" borderId="0"/>
    <xf numFmtId="164" fontId="1" fillId="0" borderId="0"/>
    <xf numFmtId="49" fontId="28" fillId="9" borderId="0" applyBorder="0" applyProtection="0">
      <alignment horizontal="left" vertical="top" wrapText="1"/>
    </xf>
    <xf numFmtId="164" fontId="21" fillId="0" borderId="0"/>
    <xf numFmtId="164" fontId="26" fillId="0" borderId="0"/>
    <xf numFmtId="164" fontId="1" fillId="0" borderId="0"/>
    <xf numFmtId="164" fontId="7" fillId="0" borderId="0" applyNumberFormat="0" applyFill="0" applyBorder="0" applyAlignment="0" applyProtection="0"/>
    <xf numFmtId="164" fontId="21" fillId="0" borderId="0"/>
    <xf numFmtId="164" fontId="4" fillId="0" borderId="0"/>
    <xf numFmtId="164" fontId="16" fillId="0" borderId="0" applyNumberFormat="0" applyFill="0" applyBorder="0" applyAlignment="0" applyProtection="0"/>
    <xf numFmtId="164" fontId="24" fillId="0" borderId="0"/>
    <xf numFmtId="164" fontId="5" fillId="0" borderId="0"/>
    <xf numFmtId="164" fontId="10" fillId="0" borderId="0"/>
    <xf numFmtId="164" fontId="4" fillId="0" borderId="0"/>
    <xf numFmtId="164" fontId="1" fillId="0" borderId="0"/>
    <xf numFmtId="164" fontId="1" fillId="0" borderId="0"/>
  </cellStyleXfs>
  <cellXfs count="723">
    <xf numFmtId="164" fontId="0" fillId="0" borderId="0" xfId="0"/>
    <xf numFmtId="164" fontId="1" fillId="0" borderId="0" xfId="47"/>
    <xf numFmtId="0" fontId="5" fillId="0" borderId="0" xfId="1" applyNumberFormat="1" applyFont="1" applyAlignment="1">
      <alignment vertical="top"/>
    </xf>
    <xf numFmtId="0" fontId="6" fillId="0" borderId="0" xfId="1" applyNumberFormat="1" applyFont="1" applyAlignment="1"/>
    <xf numFmtId="0" fontId="5" fillId="0" borderId="0" xfId="1" applyNumberFormat="1" applyFont="1" applyAlignment="1"/>
    <xf numFmtId="0" fontId="8" fillId="0" borderId="0" xfId="2" applyNumberFormat="1" applyFont="1" applyFill="1" applyAlignment="1">
      <alignment vertical="top"/>
    </xf>
    <xf numFmtId="0" fontId="5" fillId="0" borderId="0" xfId="1" applyNumberFormat="1" applyFont="1" applyFill="1" applyAlignment="1">
      <alignment vertical="top"/>
    </xf>
    <xf numFmtId="0" fontId="5" fillId="0" borderId="0" xfId="3" applyNumberFormat="1" applyFont="1" applyFill="1" applyAlignment="1">
      <alignment horizontal="right"/>
    </xf>
    <xf numFmtId="0" fontId="5" fillId="0" borderId="0" xfId="1" applyNumberFormat="1" applyFont="1" applyFill="1" applyAlignment="1"/>
    <xf numFmtId="0" fontId="5" fillId="0" borderId="0" xfId="0" applyNumberFormat="1" applyFont="1"/>
    <xf numFmtId="0" fontId="5" fillId="0" borderId="0" xfId="1" applyNumberFormat="1" applyFont="1" applyAlignment="1">
      <alignment horizontal="right" vertical="top"/>
    </xf>
    <xf numFmtId="0" fontId="6" fillId="2" borderId="1" xfId="1" applyNumberFormat="1" applyFont="1" applyFill="1" applyBorder="1" applyAlignment="1"/>
    <xf numFmtId="0" fontId="6" fillId="2" borderId="2" xfId="1" applyNumberFormat="1" applyFont="1" applyFill="1" applyBorder="1" applyAlignment="1"/>
    <xf numFmtId="0" fontId="6" fillId="2" borderId="3" xfId="1" applyNumberFormat="1" applyFont="1" applyFill="1" applyBorder="1" applyAlignment="1"/>
    <xf numFmtId="0" fontId="6" fillId="3" borderId="0" xfId="1" quotePrefix="1" applyNumberFormat="1" applyFont="1" applyFill="1" applyAlignment="1"/>
    <xf numFmtId="0" fontId="6" fillId="3" borderId="0" xfId="1" applyNumberFormat="1" applyFont="1" applyFill="1" applyBorder="1" applyAlignment="1"/>
    <xf numFmtId="0" fontId="5" fillId="3" borderId="0" xfId="1" applyNumberFormat="1" applyFont="1" applyFill="1" applyBorder="1" applyAlignment="1"/>
    <xf numFmtId="0" fontId="5" fillId="0" borderId="0" xfId="1" applyNumberFormat="1" applyFont="1" applyFill="1" applyBorder="1" applyAlignment="1"/>
    <xf numFmtId="0" fontId="6" fillId="0" borderId="0" xfId="1" applyNumberFormat="1" applyFont="1" applyFill="1" applyBorder="1" applyAlignment="1"/>
    <xf numFmtId="0" fontId="5" fillId="0" borderId="0" xfId="1" applyNumberFormat="1" applyFont="1" applyFill="1" applyBorder="1" applyAlignment="1">
      <alignment vertical="top"/>
    </xf>
    <xf numFmtId="0" fontId="6" fillId="0" borderId="0" xfId="1" applyNumberFormat="1" applyFont="1" applyFill="1" applyBorder="1" applyAlignment="1">
      <alignment vertical="top"/>
    </xf>
    <xf numFmtId="0" fontId="5" fillId="0" borderId="4" xfId="2" applyNumberFormat="1" applyFont="1" applyFill="1" applyBorder="1" applyAlignment="1"/>
    <xf numFmtId="0" fontId="6" fillId="4" borderId="5" xfId="1" applyNumberFormat="1" applyFont="1" applyFill="1" applyBorder="1" applyAlignment="1"/>
    <xf numFmtId="0" fontId="5" fillId="0" borderId="6" xfId="1" applyNumberFormat="1" applyFont="1" applyFill="1" applyBorder="1" applyAlignment="1"/>
    <xf numFmtId="0" fontId="6" fillId="4" borderId="7" xfId="1" applyNumberFormat="1" applyFont="1" applyFill="1" applyBorder="1" applyAlignment="1"/>
    <xf numFmtId="0" fontId="5" fillId="0" borderId="4" xfId="1" applyNumberFormat="1" applyFont="1" applyFill="1" applyBorder="1" applyAlignment="1"/>
    <xf numFmtId="0" fontId="6" fillId="0" borderId="4" xfId="2" applyNumberFormat="1" applyFont="1" applyFill="1" applyBorder="1" applyAlignment="1"/>
    <xf numFmtId="0" fontId="1" fillId="0" borderId="6" xfId="4" applyNumberFormat="1" applyFont="1" applyFill="1" applyBorder="1" applyAlignment="1"/>
    <xf numFmtId="0" fontId="6" fillId="0" borderId="0" xfId="1" applyNumberFormat="1" applyFont="1" applyFill="1" applyAlignment="1">
      <alignment vertical="top"/>
    </xf>
    <xf numFmtId="0" fontId="5" fillId="0" borderId="9" xfId="2" applyNumberFormat="1" applyFont="1" applyFill="1" applyBorder="1" applyAlignment="1"/>
    <xf numFmtId="0" fontId="6" fillId="0" borderId="10" xfId="1" applyNumberFormat="1" applyFont="1" applyFill="1" applyBorder="1" applyAlignment="1"/>
    <xf numFmtId="0" fontId="5" fillId="0" borderId="11" xfId="1" applyNumberFormat="1" applyFont="1" applyFill="1" applyBorder="1" applyAlignment="1"/>
    <xf numFmtId="0" fontId="5" fillId="0" borderId="9" xfId="1" applyNumberFormat="1" applyFont="1" applyFill="1" applyBorder="1" applyAlignment="1"/>
    <xf numFmtId="0" fontId="6" fillId="0" borderId="9" xfId="0" applyNumberFormat="1" applyFont="1" applyFill="1" applyBorder="1" applyAlignment="1"/>
    <xf numFmtId="0" fontId="5" fillId="0" borderId="11" xfId="2" applyNumberFormat="1" applyFont="1" applyFill="1" applyBorder="1" applyAlignment="1"/>
    <xf numFmtId="0" fontId="7" fillId="0" borderId="12" xfId="2" applyNumberFormat="1" applyFill="1" applyBorder="1" applyAlignment="1"/>
    <xf numFmtId="0" fontId="1" fillId="0" borderId="11" xfId="4" applyNumberFormat="1" applyFont="1" applyFill="1" applyBorder="1" applyAlignment="1"/>
    <xf numFmtId="0" fontId="3" fillId="0" borderId="12" xfId="4" applyNumberFormat="1" applyFont="1" applyFill="1" applyBorder="1" applyAlignment="1"/>
    <xf numFmtId="0" fontId="5" fillId="0" borderId="13" xfId="2" applyNumberFormat="1" applyFont="1" applyFill="1" applyBorder="1" applyAlignment="1"/>
    <xf numFmtId="0" fontId="6" fillId="0" borderId="14" xfId="1" applyNumberFormat="1" applyFont="1" applyFill="1" applyBorder="1" applyAlignment="1"/>
    <xf numFmtId="0" fontId="5" fillId="0" borderId="15" xfId="1" applyNumberFormat="1" applyFont="1" applyFill="1" applyBorder="1" applyAlignment="1"/>
    <xf numFmtId="0" fontId="6" fillId="0" borderId="16" xfId="1" applyNumberFormat="1" applyFont="1" applyFill="1" applyBorder="1" applyAlignment="1"/>
    <xf numFmtId="0" fontId="5" fillId="0" borderId="13" xfId="1" applyNumberFormat="1" applyFont="1" applyFill="1" applyBorder="1" applyAlignment="1"/>
    <xf numFmtId="0" fontId="11" fillId="0" borderId="13" xfId="2" applyNumberFormat="1" applyFont="1" applyFill="1" applyBorder="1" applyAlignment="1"/>
    <xf numFmtId="0" fontId="6" fillId="0" borderId="17" xfId="1" applyNumberFormat="1" applyFont="1" applyFill="1" applyBorder="1" applyAlignment="1"/>
    <xf numFmtId="0" fontId="5" fillId="0" borderId="15" xfId="2" applyNumberFormat="1" applyFont="1" applyFill="1" applyBorder="1" applyAlignment="1"/>
    <xf numFmtId="0" fontId="7" fillId="0" borderId="17" xfId="2" applyNumberFormat="1" applyFill="1" applyBorder="1" applyAlignment="1">
      <alignment horizontal="right"/>
    </xf>
    <xf numFmtId="0" fontId="1" fillId="0" borderId="15" xfId="4" applyNumberFormat="1" applyFont="1" applyFill="1" applyBorder="1" applyAlignment="1"/>
    <xf numFmtId="0" fontId="1" fillId="0" borderId="14" xfId="4" applyNumberFormat="1" applyFont="1" applyFill="1" applyBorder="1" applyAlignment="1"/>
    <xf numFmtId="0" fontId="1" fillId="0" borderId="9" xfId="4" applyNumberFormat="1" applyFont="1" applyFill="1" applyBorder="1" applyAlignment="1"/>
    <xf numFmtId="0" fontId="3" fillId="4" borderId="18" xfId="4" applyNumberFormat="1" applyFont="1" applyFill="1" applyBorder="1" applyAlignment="1"/>
    <xf numFmtId="0" fontId="33" fillId="8" borderId="4" xfId="2" applyNumberFormat="1" applyFont="1" applyFill="1" applyBorder="1" applyAlignment="1"/>
    <xf numFmtId="0" fontId="3" fillId="4" borderId="19" xfId="4" applyNumberFormat="1" applyFont="1" applyFill="1" applyBorder="1" applyAlignment="1"/>
    <xf numFmtId="0" fontId="6" fillId="4" borderId="20" xfId="5" applyNumberFormat="1" applyFont="1" applyFill="1" applyBorder="1" applyAlignment="1"/>
    <xf numFmtId="0" fontId="6" fillId="4" borderId="21" xfId="5" applyNumberFormat="1" applyFont="1" applyFill="1" applyBorder="1" applyAlignment="1"/>
    <xf numFmtId="0" fontId="3" fillId="0" borderId="0" xfId="4" applyNumberFormat="1" applyFont="1" applyFill="1" applyBorder="1" applyAlignment="1"/>
    <xf numFmtId="0" fontId="30" fillId="8" borderId="9" xfId="0" applyNumberFormat="1" applyFont="1" applyFill="1" applyBorder="1" applyAlignment="1"/>
    <xf numFmtId="0" fontId="3" fillId="8" borderId="0" xfId="4" applyNumberFormat="1" applyFont="1" applyFill="1" applyBorder="1" applyAlignment="1"/>
    <xf numFmtId="0" fontId="6" fillId="0" borderId="22" xfId="6" applyNumberFormat="1" applyFont="1" applyFill="1" applyBorder="1" applyAlignment="1"/>
    <xf numFmtId="0" fontId="1" fillId="0" borderId="23" xfId="4" applyNumberFormat="1" applyFont="1" applyFill="1" applyBorder="1" applyAlignment="1"/>
    <xf numFmtId="0" fontId="1" fillId="0" borderId="24" xfId="4" applyNumberFormat="1" applyFont="1" applyFill="1" applyBorder="1" applyAlignment="1"/>
    <xf numFmtId="0" fontId="1" fillId="0" borderId="25" xfId="4" applyNumberFormat="1" applyFont="1" applyFill="1" applyBorder="1" applyAlignment="1"/>
    <xf numFmtId="0" fontId="33" fillId="8" borderId="23" xfId="2" applyNumberFormat="1" applyFont="1" applyFill="1" applyBorder="1" applyAlignment="1"/>
    <xf numFmtId="0" fontId="1" fillId="8" borderId="24" xfId="4" applyNumberFormat="1" applyFont="1" applyFill="1" applyBorder="1" applyAlignment="1"/>
    <xf numFmtId="0" fontId="6" fillId="0" borderId="26" xfId="1" applyNumberFormat="1" applyFont="1" applyFill="1" applyBorder="1" applyAlignment="1"/>
    <xf numFmtId="0" fontId="6" fillId="0" borderId="28" xfId="6" applyNumberFormat="1" applyFont="1" applyFill="1" applyBorder="1" applyAlignment="1"/>
    <xf numFmtId="0" fontId="1" fillId="0" borderId="29" xfId="4" applyNumberFormat="1" applyFont="1" applyFill="1" applyBorder="1" applyAlignment="1"/>
    <xf numFmtId="0" fontId="3" fillId="4" borderId="30" xfId="4" applyNumberFormat="1" applyFont="1" applyFill="1" applyBorder="1" applyAlignment="1"/>
    <xf numFmtId="0" fontId="1" fillId="0" borderId="31" xfId="4" applyNumberFormat="1" applyFont="1" applyFill="1" applyBorder="1" applyAlignment="1"/>
    <xf numFmtId="0" fontId="12" fillId="0" borderId="31" xfId="2" applyNumberFormat="1" applyFont="1" applyFill="1" applyBorder="1" applyAlignment="1"/>
    <xf numFmtId="0" fontId="3" fillId="4" borderId="32" xfId="4" applyNumberFormat="1" applyFont="1" applyFill="1" applyBorder="1" applyAlignment="1"/>
    <xf numFmtId="0" fontId="6" fillId="4" borderId="34" xfId="1" applyNumberFormat="1" applyFont="1" applyFill="1" applyBorder="1" applyAlignment="1"/>
    <xf numFmtId="0" fontId="7" fillId="0" borderId="0" xfId="2" applyNumberFormat="1"/>
    <xf numFmtId="0" fontId="5" fillId="0" borderId="22" xfId="1" applyNumberFormat="1" applyFont="1" applyFill="1" applyBorder="1" applyAlignment="1">
      <alignment horizontal="right"/>
    </xf>
    <xf numFmtId="0" fontId="5" fillId="0" borderId="36" xfId="1" applyNumberFormat="1" applyFont="1" applyFill="1" applyBorder="1" applyAlignment="1"/>
    <xf numFmtId="0" fontId="1" fillId="0" borderId="0" xfId="4" applyNumberFormat="1" applyFont="1" applyFill="1" applyBorder="1" applyAlignment="1"/>
    <xf numFmtId="0" fontId="41" fillId="0" borderId="28" xfId="1" applyNumberFormat="1" applyFont="1" applyFill="1" applyBorder="1" applyAlignment="1"/>
    <xf numFmtId="0" fontId="5" fillId="0" borderId="38" xfId="1" applyNumberFormat="1" applyFont="1" applyFill="1" applyBorder="1" applyAlignment="1"/>
    <xf numFmtId="0" fontId="6" fillId="4" borderId="30" xfId="1" applyNumberFormat="1" applyFont="1" applyFill="1" applyBorder="1" applyAlignment="1"/>
    <xf numFmtId="0" fontId="6" fillId="4" borderId="32" xfId="1" applyNumberFormat="1" applyFont="1" applyFill="1" applyBorder="1" applyAlignment="1"/>
    <xf numFmtId="0" fontId="8" fillId="0" borderId="31" xfId="2" applyNumberFormat="1" applyFont="1" applyFill="1" applyBorder="1" applyAlignment="1"/>
    <xf numFmtId="0" fontId="6" fillId="8" borderId="0" xfId="1" applyNumberFormat="1" applyFont="1" applyFill="1" applyBorder="1" applyAlignment="1"/>
    <xf numFmtId="0" fontId="5" fillId="0" borderId="11" xfId="0" applyNumberFormat="1" applyFont="1" applyFill="1" applyBorder="1" applyAlignment="1"/>
    <xf numFmtId="0" fontId="6" fillId="0" borderId="40" xfId="1" applyNumberFormat="1" applyFont="1" applyFill="1" applyBorder="1" applyAlignment="1"/>
    <xf numFmtId="0" fontId="7" fillId="0" borderId="41" xfId="2" applyNumberFormat="1" applyFill="1" applyBorder="1" applyAlignment="1"/>
    <xf numFmtId="0" fontId="5" fillId="0" borderId="23" xfId="1" applyNumberFormat="1" applyFont="1" applyFill="1" applyBorder="1" applyAlignment="1"/>
    <xf numFmtId="0" fontId="6" fillId="0" borderId="24" xfId="1" applyNumberFormat="1" applyFont="1" applyFill="1" applyBorder="1" applyAlignment="1"/>
    <xf numFmtId="0" fontId="6" fillId="8" borderId="24" xfId="1" applyNumberFormat="1" applyFont="1" applyFill="1" applyBorder="1" applyAlignment="1"/>
    <xf numFmtId="0" fontId="5" fillId="0" borderId="25" xfId="1" applyNumberFormat="1" applyFont="1" applyFill="1" applyBorder="1" applyAlignment="1"/>
    <xf numFmtId="0" fontId="5" fillId="0" borderId="25" xfId="0" applyNumberFormat="1" applyFont="1" applyFill="1" applyBorder="1" applyAlignment="1"/>
    <xf numFmtId="0" fontId="6" fillId="0" borderId="42" xfId="1" applyNumberFormat="1" applyFont="1" applyFill="1" applyBorder="1" applyAlignment="1"/>
    <xf numFmtId="0" fontId="3" fillId="0" borderId="42" xfId="1" applyNumberFormat="1" applyFont="1" applyFill="1" applyBorder="1" applyAlignment="1"/>
    <xf numFmtId="0" fontId="5" fillId="0" borderId="29" xfId="1" applyNumberFormat="1" applyFont="1" applyFill="1" applyBorder="1" applyAlignment="1"/>
    <xf numFmtId="0" fontId="5" fillId="0" borderId="31" xfId="1" applyNumberFormat="1" applyFont="1" applyFill="1" applyBorder="1" applyAlignment="1"/>
    <xf numFmtId="0" fontId="5" fillId="0" borderId="39" xfId="1" applyNumberFormat="1" applyFont="1" applyFill="1" applyBorder="1" applyAlignment="1"/>
    <xf numFmtId="0" fontId="5" fillId="0" borderId="43" xfId="0" applyNumberFormat="1" applyFont="1" applyBorder="1"/>
    <xf numFmtId="0" fontId="5" fillId="0" borderId="44" xfId="0" applyNumberFormat="1" applyFont="1" applyBorder="1"/>
    <xf numFmtId="0" fontId="5" fillId="0" borderId="13" xfId="0" applyNumberFormat="1" applyFont="1" applyBorder="1"/>
    <xf numFmtId="0" fontId="5" fillId="0" borderId="16" xfId="0" applyNumberFormat="1" applyFont="1" applyBorder="1"/>
    <xf numFmtId="0" fontId="5" fillId="0" borderId="15" xfId="0" applyNumberFormat="1" applyFont="1" applyBorder="1"/>
    <xf numFmtId="0" fontId="5" fillId="0" borderId="17" xfId="0" applyNumberFormat="1" applyFont="1" applyBorder="1"/>
    <xf numFmtId="0" fontId="5" fillId="0" borderId="16" xfId="1" applyNumberFormat="1" applyFont="1" applyFill="1" applyBorder="1" applyAlignment="1"/>
    <xf numFmtId="0" fontId="5" fillId="0" borderId="43" xfId="1" applyNumberFormat="1" applyFont="1" applyFill="1" applyBorder="1" applyAlignment="1"/>
    <xf numFmtId="0" fontId="3" fillId="4" borderId="32" xfId="1" applyNumberFormat="1" applyFont="1" applyFill="1" applyBorder="1" applyAlignment="1"/>
    <xf numFmtId="0" fontId="5" fillId="0" borderId="44" xfId="1" applyNumberFormat="1" applyFont="1" applyFill="1" applyBorder="1" applyAlignment="1"/>
    <xf numFmtId="0" fontId="8" fillId="0" borderId="0" xfId="2" applyNumberFormat="1" applyFont="1" applyFill="1" applyBorder="1" applyAlignment="1"/>
    <xf numFmtId="0" fontId="6" fillId="0" borderId="11" xfId="1" applyNumberFormat="1" applyFont="1" applyFill="1" applyBorder="1" applyAlignment="1"/>
    <xf numFmtId="0" fontId="3" fillId="0" borderId="40" xfId="1" applyNumberFormat="1" applyFont="1" applyFill="1" applyBorder="1" applyAlignment="1"/>
    <xf numFmtId="0" fontId="5" fillId="0" borderId="24" xfId="0" applyNumberFormat="1" applyFont="1" applyBorder="1"/>
    <xf numFmtId="0" fontId="5" fillId="0" borderId="24" xfId="1" applyNumberFormat="1" applyFont="1" applyFill="1" applyBorder="1" applyAlignment="1"/>
    <xf numFmtId="0" fontId="5" fillId="0" borderId="45" xfId="1" applyNumberFormat="1" applyFont="1" applyFill="1" applyBorder="1" applyAlignment="1"/>
    <xf numFmtId="0" fontId="5" fillId="0" borderId="40" xfId="1" applyNumberFormat="1" applyFont="1" applyFill="1" applyBorder="1" applyAlignment="1"/>
    <xf numFmtId="0" fontId="5" fillId="0" borderId="46" xfId="1" applyNumberFormat="1" applyFont="1" applyFill="1" applyBorder="1" applyAlignment="1"/>
    <xf numFmtId="0" fontId="5" fillId="0" borderId="47" xfId="1" applyNumberFormat="1" applyFont="1" applyFill="1" applyBorder="1" applyAlignment="1"/>
    <xf numFmtId="0" fontId="8" fillId="0" borderId="48" xfId="2" applyNumberFormat="1" applyFont="1" applyFill="1" applyBorder="1" applyAlignment="1"/>
    <xf numFmtId="0" fontId="1" fillId="0" borderId="42" xfId="1" applyNumberFormat="1" applyFont="1" applyFill="1" applyBorder="1" applyAlignment="1"/>
    <xf numFmtId="0" fontId="6" fillId="4" borderId="18" xfId="1" applyNumberFormat="1" applyFont="1" applyFill="1" applyBorder="1" applyAlignment="1"/>
    <xf numFmtId="0" fontId="5" fillId="0" borderId="11" xfId="1" applyNumberFormat="1" applyFont="1" applyFill="1" applyBorder="1" applyAlignment="1">
      <alignment vertical="top"/>
    </xf>
    <xf numFmtId="0" fontId="30" fillId="4" borderId="11" xfId="0" applyNumberFormat="1" applyFont="1" applyFill="1" applyBorder="1"/>
    <xf numFmtId="0" fontId="5" fillId="4" borderId="0" xfId="1" applyNumberFormat="1" applyFont="1" applyFill="1" applyBorder="1" applyAlignment="1">
      <alignment horizontal="right"/>
    </xf>
    <xf numFmtId="0" fontId="6" fillId="7" borderId="40" xfId="1" applyNumberFormat="1" applyFont="1" applyFill="1" applyBorder="1" applyAlignment="1"/>
    <xf numFmtId="0" fontId="5" fillId="0" borderId="25" xfId="1" applyNumberFormat="1" applyFont="1" applyFill="1" applyBorder="1" applyAlignment="1">
      <alignment vertical="top"/>
    </xf>
    <xf numFmtId="0" fontId="5" fillId="0" borderId="24" xfId="1" applyNumberFormat="1" applyFont="1" applyFill="1" applyBorder="1" applyAlignment="1">
      <alignment horizontal="right" vertical="top"/>
    </xf>
    <xf numFmtId="0" fontId="5" fillId="0" borderId="42" xfId="1" applyNumberFormat="1" applyFont="1" applyFill="1" applyBorder="1" applyAlignment="1"/>
    <xf numFmtId="0" fontId="6" fillId="4" borderId="42" xfId="1" applyNumberFormat="1" applyFont="1" applyFill="1" applyBorder="1" applyAlignment="1"/>
    <xf numFmtId="0" fontId="5" fillId="7" borderId="42" xfId="1" applyNumberFormat="1" applyFont="1" applyFill="1" applyBorder="1" applyAlignment="1"/>
    <xf numFmtId="0" fontId="6" fillId="4" borderId="19" xfId="1" applyNumberFormat="1" applyFont="1" applyFill="1" applyBorder="1" applyAlignment="1"/>
    <xf numFmtId="0" fontId="5" fillId="0" borderId="10" xfId="1" applyNumberFormat="1" applyFont="1" applyFill="1" applyBorder="1" applyAlignment="1"/>
    <xf numFmtId="0" fontId="5" fillId="0" borderId="50" xfId="1" applyNumberFormat="1" applyFont="1" applyFill="1" applyBorder="1" applyAlignment="1"/>
    <xf numFmtId="0" fontId="5" fillId="0" borderId="31" xfId="0" applyNumberFormat="1" applyFont="1" applyBorder="1"/>
    <xf numFmtId="0" fontId="6" fillId="5" borderId="51" xfId="1" applyNumberFormat="1" applyFont="1" applyFill="1" applyBorder="1" applyAlignment="1"/>
    <xf numFmtId="0" fontId="6" fillId="5" borderId="32" xfId="1" applyNumberFormat="1" applyFont="1" applyFill="1" applyBorder="1" applyAlignment="1"/>
    <xf numFmtId="0" fontId="5" fillId="8" borderId="0" xfId="1" applyNumberFormat="1" applyFont="1" applyFill="1" applyBorder="1" applyAlignment="1"/>
    <xf numFmtId="0" fontId="5" fillId="8" borderId="24" xfId="1" applyNumberFormat="1" applyFont="1" applyFill="1" applyBorder="1" applyAlignment="1"/>
    <xf numFmtId="0" fontId="5" fillId="0" borderId="48" xfId="1" applyNumberFormat="1" applyFont="1" applyFill="1" applyBorder="1" applyAlignment="1"/>
    <xf numFmtId="0" fontId="5" fillId="0" borderId="11" xfId="0" applyNumberFormat="1" applyFont="1" applyBorder="1"/>
    <xf numFmtId="0" fontId="5" fillId="0" borderId="40" xfId="0" applyNumberFormat="1" applyFont="1" applyBorder="1"/>
    <xf numFmtId="0" fontId="5" fillId="0" borderId="0" xfId="0" applyNumberFormat="1" applyFont="1" applyBorder="1"/>
    <xf numFmtId="0" fontId="5" fillId="0" borderId="25" xfId="0" applyNumberFormat="1" applyFont="1" applyBorder="1"/>
    <xf numFmtId="0" fontId="6" fillId="3" borderId="39" xfId="1" quotePrefix="1" applyNumberFormat="1" applyFont="1" applyFill="1" applyBorder="1" applyAlignment="1"/>
    <xf numFmtId="0" fontId="6" fillId="3" borderId="39" xfId="1" applyNumberFormat="1" applyFont="1" applyFill="1" applyBorder="1" applyAlignment="1"/>
    <xf numFmtId="0" fontId="5" fillId="3" borderId="39" xfId="1" applyNumberFormat="1" applyFont="1" applyFill="1" applyBorder="1" applyAlignment="1"/>
    <xf numFmtId="0" fontId="6" fillId="0" borderId="39" xfId="1" applyNumberFormat="1" applyFont="1" applyFill="1" applyBorder="1" applyAlignment="1"/>
    <xf numFmtId="0" fontId="7" fillId="0" borderId="40" xfId="2" applyNumberFormat="1" applyFill="1" applyBorder="1" applyAlignment="1"/>
    <xf numFmtId="0" fontId="6" fillId="4" borderId="52" xfId="1" applyNumberFormat="1" applyFont="1" applyFill="1" applyBorder="1" applyAlignment="1"/>
    <xf numFmtId="0" fontId="6" fillId="4" borderId="53" xfId="1" applyNumberFormat="1" applyFont="1" applyFill="1" applyBorder="1" applyAlignment="1"/>
    <xf numFmtId="0" fontId="5" fillId="0" borderId="39" xfId="0" applyNumberFormat="1" applyFont="1" applyBorder="1"/>
    <xf numFmtId="0" fontId="5" fillId="0" borderId="54" xfId="1" applyNumberFormat="1" applyFont="1" applyFill="1" applyBorder="1" applyAlignment="1"/>
    <xf numFmtId="0" fontId="6" fillId="4" borderId="55" xfId="1" applyNumberFormat="1" applyFont="1" applyFill="1" applyBorder="1" applyAlignment="1"/>
    <xf numFmtId="0" fontId="8" fillId="0" borderId="11" xfId="2" applyNumberFormat="1" applyFont="1" applyFill="1" applyBorder="1" applyAlignment="1"/>
    <xf numFmtId="0" fontId="5" fillId="0" borderId="56" xfId="1" applyNumberFormat="1" applyFont="1" applyFill="1" applyBorder="1" applyAlignment="1"/>
    <xf numFmtId="0" fontId="5" fillId="8" borderId="56" xfId="1" applyNumberFormat="1" applyFont="1" applyFill="1" applyBorder="1" applyAlignment="1"/>
    <xf numFmtId="0" fontId="5" fillId="8" borderId="40" xfId="1" applyNumberFormat="1" applyFont="1" applyFill="1" applyBorder="1" applyAlignment="1"/>
    <xf numFmtId="0" fontId="8" fillId="0" borderId="11" xfId="8" applyNumberFormat="1" applyFont="1" applyFill="1" applyBorder="1" applyAlignment="1"/>
    <xf numFmtId="0" fontId="5" fillId="0" borderId="0" xfId="1" applyNumberFormat="1" applyFont="1" applyBorder="1" applyAlignment="1">
      <alignment vertical="top"/>
    </xf>
    <xf numFmtId="0" fontId="5" fillId="13" borderId="40" xfId="1" applyNumberFormat="1" applyFont="1" applyFill="1" applyBorder="1" applyAlignment="1"/>
    <xf numFmtId="0" fontId="6" fillId="0" borderId="41" xfId="1" applyNumberFormat="1" applyFont="1" applyFill="1" applyBorder="1" applyAlignment="1"/>
    <xf numFmtId="0" fontId="5" fillId="0" borderId="58" xfId="1" applyNumberFormat="1" applyFont="1" applyFill="1" applyBorder="1" applyAlignment="1"/>
    <xf numFmtId="0" fontId="6" fillId="6" borderId="2" xfId="1" quotePrefix="1" applyNumberFormat="1" applyFont="1" applyFill="1" applyBorder="1" applyAlignment="1"/>
    <xf numFmtId="0" fontId="6" fillId="6" borderId="2" xfId="1" applyNumberFormat="1" applyFont="1" applyFill="1" applyBorder="1" applyAlignment="1"/>
    <xf numFmtId="0" fontId="5" fillId="6" borderId="24" xfId="1" applyNumberFormat="1" applyFont="1" applyFill="1" applyBorder="1" applyAlignment="1"/>
    <xf numFmtId="0" fontId="5" fillId="0" borderId="24" xfId="1" applyNumberFormat="1" applyFont="1" applyBorder="1" applyAlignment="1">
      <alignment vertical="top"/>
    </xf>
    <xf numFmtId="0" fontId="5" fillId="0" borderId="24" xfId="1" applyNumberFormat="1" applyFont="1" applyFill="1" applyBorder="1" applyAlignment="1">
      <alignment vertical="top"/>
    </xf>
    <xf numFmtId="0" fontId="6" fillId="0" borderId="11" xfId="7" applyNumberFormat="1" applyFont="1" applyFill="1" applyBorder="1" applyAlignment="1"/>
    <xf numFmtId="0" fontId="5" fillId="0" borderId="42" xfId="0" applyNumberFormat="1" applyFont="1" applyBorder="1"/>
    <xf numFmtId="0" fontId="17" fillId="0" borderId="0" xfId="1" applyNumberFormat="1" applyFont="1" applyFill="1" applyBorder="1" applyAlignment="1">
      <alignment horizontal="right"/>
    </xf>
    <xf numFmtId="0" fontId="8" fillId="0" borderId="10" xfId="2" applyNumberFormat="1" applyFont="1" applyFill="1" applyBorder="1" applyAlignment="1"/>
    <xf numFmtId="0" fontId="5" fillId="8" borderId="42" xfId="1" applyNumberFormat="1" applyFont="1" applyFill="1" applyBorder="1" applyAlignment="1"/>
    <xf numFmtId="0" fontId="8" fillId="0" borderId="25" xfId="2" applyNumberFormat="1" applyFont="1" applyFill="1" applyBorder="1"/>
    <xf numFmtId="0" fontId="13" fillId="0" borderId="25" xfId="2" applyNumberFormat="1" applyFont="1" applyFill="1" applyBorder="1" applyAlignment="1"/>
    <xf numFmtId="0" fontId="30" fillId="8" borderId="4" xfId="2" applyNumberFormat="1" applyFont="1" applyFill="1" applyBorder="1" applyAlignment="1"/>
    <xf numFmtId="0" fontId="1" fillId="0" borderId="0" xfId="1" applyNumberFormat="1" applyFont="1" applyFill="1" applyBorder="1" applyAlignment="1"/>
    <xf numFmtId="0" fontId="8" fillId="0" borderId="23" xfId="2" applyNumberFormat="1" applyFont="1" applyFill="1" applyBorder="1" applyAlignment="1"/>
    <xf numFmtId="0" fontId="1" fillId="0" borderId="48" xfId="1" applyNumberFormat="1" applyFont="1" applyFill="1" applyBorder="1" applyAlignment="1"/>
    <xf numFmtId="0" fontId="5" fillId="0" borderId="31" xfId="2" applyNumberFormat="1" applyFont="1" applyFill="1" applyBorder="1" applyAlignment="1"/>
    <xf numFmtId="0" fontId="6" fillId="0" borderId="0" xfId="1" applyNumberFormat="1" applyFont="1" applyBorder="1" applyAlignment="1">
      <alignment vertical="top"/>
    </xf>
    <xf numFmtId="0" fontId="5" fillId="0" borderId="60" xfId="1" applyNumberFormat="1" applyFont="1" applyFill="1" applyBorder="1" applyAlignment="1"/>
    <xf numFmtId="0" fontId="6" fillId="4" borderId="51" xfId="1" applyNumberFormat="1" applyFont="1" applyFill="1" applyBorder="1" applyAlignment="1"/>
    <xf numFmtId="0" fontId="5" fillId="0" borderId="0" xfId="0" applyNumberFormat="1" applyFont="1" applyFill="1"/>
    <xf numFmtId="0" fontId="6" fillId="6" borderId="9" xfId="1" quotePrefix="1" applyNumberFormat="1" applyFont="1" applyFill="1" applyBorder="1" applyAlignment="1"/>
    <xf numFmtId="0" fontId="6" fillId="6" borderId="0" xfId="1" applyNumberFormat="1" applyFont="1" applyFill="1" applyBorder="1" applyAlignment="1"/>
    <xf numFmtId="0" fontId="5" fillId="6" borderId="0" xfId="1" applyNumberFormat="1" applyFont="1" applyFill="1" applyBorder="1" applyAlignment="1"/>
    <xf numFmtId="0" fontId="7" fillId="8" borderId="40" xfId="2" applyNumberFormat="1" applyFill="1" applyBorder="1" applyAlignment="1"/>
    <xf numFmtId="0" fontId="5" fillId="0" borderId="25" xfId="0" applyNumberFormat="1" applyFont="1" applyFill="1" applyBorder="1"/>
    <xf numFmtId="0" fontId="3" fillId="8" borderId="40" xfId="1" applyNumberFormat="1" applyFont="1" applyFill="1" applyBorder="1" applyAlignment="1"/>
    <xf numFmtId="0" fontId="18" fillId="0" borderId="0" xfId="1" applyNumberFormat="1" applyFont="1" applyFill="1" applyBorder="1" applyAlignment="1"/>
    <xf numFmtId="0" fontId="5" fillId="0" borderId="73" xfId="1" applyNumberFormat="1" applyFont="1" applyFill="1" applyBorder="1" applyAlignment="1"/>
    <xf numFmtId="0" fontId="14" fillId="0" borderId="74" xfId="1" applyNumberFormat="1" applyFont="1" applyFill="1" applyBorder="1" applyAlignment="1">
      <alignment horizontal="center"/>
    </xf>
    <xf numFmtId="0" fontId="5" fillId="0" borderId="74" xfId="1" applyNumberFormat="1" applyFont="1" applyFill="1" applyBorder="1" applyAlignment="1"/>
    <xf numFmtId="0" fontId="14" fillId="0" borderId="75" xfId="1" applyNumberFormat="1" applyFont="1" applyFill="1" applyBorder="1" applyAlignment="1">
      <alignment horizontal="right"/>
    </xf>
    <xf numFmtId="0" fontId="5" fillId="0" borderId="119" xfId="1" applyNumberFormat="1" applyFont="1" applyFill="1" applyBorder="1" applyAlignment="1"/>
    <xf numFmtId="0" fontId="5" fillId="7" borderId="11" xfId="1" applyNumberFormat="1" applyFont="1" applyFill="1" applyBorder="1" applyAlignment="1"/>
    <xf numFmtId="0" fontId="5" fillId="7" borderId="40" xfId="1" applyNumberFormat="1" applyFont="1" applyFill="1" applyBorder="1" applyAlignment="1"/>
    <xf numFmtId="0" fontId="5" fillId="0" borderId="116" xfId="1" applyNumberFormat="1" applyFont="1" applyFill="1" applyBorder="1" applyAlignment="1"/>
    <xf numFmtId="0" fontId="6" fillId="0" borderId="117" xfId="1" applyNumberFormat="1" applyFont="1" applyFill="1" applyBorder="1" applyAlignment="1"/>
    <xf numFmtId="0" fontId="5" fillId="0" borderId="118" xfId="1" applyNumberFormat="1" applyFont="1" applyFill="1" applyBorder="1" applyAlignment="1"/>
    <xf numFmtId="0" fontId="6" fillId="0" borderId="118" xfId="1" applyNumberFormat="1" applyFont="1" applyFill="1" applyBorder="1" applyAlignment="1"/>
    <xf numFmtId="0" fontId="5" fillId="7" borderId="118" xfId="1" applyNumberFormat="1" applyFont="1" applyFill="1" applyBorder="1" applyAlignment="1"/>
    <xf numFmtId="0" fontId="3" fillId="0" borderId="117" xfId="1" applyNumberFormat="1" applyFont="1" applyFill="1" applyBorder="1" applyAlignment="1"/>
    <xf numFmtId="0" fontId="6" fillId="0" borderId="74" xfId="1" applyNumberFormat="1" applyFont="1" applyFill="1" applyBorder="1" applyAlignment="1"/>
    <xf numFmtId="0" fontId="14" fillId="0" borderId="74" xfId="1" applyNumberFormat="1" applyFont="1" applyFill="1" applyBorder="1" applyAlignment="1"/>
    <xf numFmtId="0" fontId="5" fillId="0" borderId="74" xfId="0" applyNumberFormat="1" applyFont="1" applyBorder="1"/>
    <xf numFmtId="0" fontId="14" fillId="0" borderId="76" xfId="0" applyNumberFormat="1" applyFont="1" applyBorder="1"/>
    <xf numFmtId="0" fontId="5" fillId="0" borderId="76" xfId="1" applyNumberFormat="1" applyFont="1" applyFill="1" applyBorder="1" applyAlignment="1">
      <alignment horizontal="right"/>
    </xf>
    <xf numFmtId="0" fontId="14" fillId="0" borderId="77" xfId="0" applyNumberFormat="1" applyFont="1" applyBorder="1" applyAlignment="1">
      <alignment horizontal="right"/>
    </xf>
    <xf numFmtId="0" fontId="5" fillId="0" borderId="76" xfId="1" applyNumberFormat="1" applyFont="1" applyFill="1" applyBorder="1" applyAlignment="1"/>
    <xf numFmtId="0" fontId="3" fillId="4" borderId="19" xfId="1" applyNumberFormat="1" applyFont="1" applyFill="1" applyBorder="1" applyAlignment="1"/>
    <xf numFmtId="0" fontId="5" fillId="0" borderId="81" xfId="1" applyNumberFormat="1" applyFont="1" applyFill="1" applyBorder="1" applyAlignment="1"/>
    <xf numFmtId="0" fontId="5" fillId="0" borderId="82" xfId="1" applyNumberFormat="1" applyFont="1" applyFill="1" applyBorder="1" applyAlignment="1"/>
    <xf numFmtId="0" fontId="3" fillId="0" borderId="83" xfId="1" applyNumberFormat="1" applyFont="1" applyFill="1" applyBorder="1" applyAlignment="1"/>
    <xf numFmtId="0" fontId="5" fillId="0" borderId="78" xfId="1" applyNumberFormat="1" applyFont="1" applyFill="1" applyBorder="1" applyAlignment="1"/>
    <xf numFmtId="0" fontId="5" fillId="0" borderId="71" xfId="1" applyNumberFormat="1" applyFont="1" applyFill="1" applyBorder="1" applyAlignment="1"/>
    <xf numFmtId="0" fontId="5" fillId="0" borderId="71" xfId="0" applyNumberFormat="1" applyFont="1" applyBorder="1"/>
    <xf numFmtId="0" fontId="5" fillId="0" borderId="14" xfId="1" applyNumberFormat="1" applyFont="1" applyFill="1" applyBorder="1" applyAlignment="1"/>
    <xf numFmtId="0" fontId="5" fillId="0" borderId="84" xfId="1" applyNumberFormat="1" applyFont="1" applyFill="1" applyBorder="1" applyAlignment="1"/>
    <xf numFmtId="0" fontId="5" fillId="0" borderId="85" xfId="1" applyNumberFormat="1" applyFont="1" applyFill="1" applyBorder="1" applyAlignment="1"/>
    <xf numFmtId="0" fontId="5" fillId="0" borderId="85" xfId="0" applyNumberFormat="1" applyFont="1" applyFill="1" applyBorder="1"/>
    <xf numFmtId="0" fontId="1" fillId="0" borderId="86" xfId="1" applyNumberFormat="1" applyFont="1" applyFill="1" applyBorder="1" applyAlignment="1"/>
    <xf numFmtId="0" fontId="6" fillId="4" borderId="80" xfId="1" applyNumberFormat="1" applyFont="1" applyFill="1" applyBorder="1" applyAlignment="1"/>
    <xf numFmtId="0" fontId="6" fillId="7" borderId="62" xfId="1" applyNumberFormat="1" applyFont="1" applyFill="1" applyBorder="1" applyAlignment="1"/>
    <xf numFmtId="0" fontId="8" fillId="7" borderId="25" xfId="2" applyNumberFormat="1" applyFont="1" applyFill="1" applyBorder="1" applyAlignment="1"/>
    <xf numFmtId="0" fontId="5" fillId="7" borderId="63" xfId="1" applyNumberFormat="1" applyFont="1" applyFill="1" applyBorder="1" applyAlignment="1"/>
    <xf numFmtId="0" fontId="6" fillId="4" borderId="61" xfId="1" applyNumberFormat="1" applyFont="1" applyFill="1" applyBorder="1" applyAlignment="1"/>
    <xf numFmtId="0" fontId="6" fillId="4" borderId="88" xfId="1" applyNumberFormat="1" applyFont="1" applyFill="1" applyBorder="1" applyAlignment="1"/>
    <xf numFmtId="0" fontId="5" fillId="0" borderId="75" xfId="1" applyNumberFormat="1" applyFont="1" applyFill="1" applyBorder="1" applyAlignment="1"/>
    <xf numFmtId="0" fontId="5" fillId="0" borderId="87" xfId="1" applyNumberFormat="1" applyFont="1" applyFill="1" applyBorder="1" applyAlignment="1"/>
    <xf numFmtId="0" fontId="14" fillId="0" borderId="25" xfId="2" applyNumberFormat="1" applyFont="1" applyFill="1" applyBorder="1" applyAlignment="1"/>
    <xf numFmtId="0" fontId="11" fillId="0" borderId="29" xfId="2" applyNumberFormat="1" applyFont="1" applyFill="1" applyBorder="1" applyAlignment="1"/>
    <xf numFmtId="0" fontId="11" fillId="0" borderId="23" xfId="2" applyNumberFormat="1" applyFont="1" applyBorder="1" applyAlignment="1"/>
    <xf numFmtId="0" fontId="20" fillId="0" borderId="23" xfId="2" applyNumberFormat="1" applyFont="1" applyBorder="1" applyAlignment="1"/>
    <xf numFmtId="0" fontId="6" fillId="0" borderId="75" xfId="1" applyNumberFormat="1" applyFont="1" applyFill="1" applyBorder="1" applyAlignment="1"/>
    <xf numFmtId="0" fontId="6" fillId="0" borderId="76" xfId="1" applyNumberFormat="1" applyFont="1" applyFill="1" applyBorder="1" applyAlignment="1"/>
    <xf numFmtId="0" fontId="6" fillId="0" borderId="77" xfId="1" applyNumberFormat="1" applyFont="1" applyFill="1" applyBorder="1" applyAlignment="1"/>
    <xf numFmtId="0" fontId="14" fillId="0" borderId="0" xfId="1" applyNumberFormat="1" applyFont="1" applyFill="1" applyBorder="1" applyAlignment="1"/>
    <xf numFmtId="0" fontId="14" fillId="0" borderId="9" xfId="1" applyNumberFormat="1" applyFont="1" applyFill="1" applyBorder="1" applyAlignment="1"/>
    <xf numFmtId="0" fontId="5" fillId="0" borderId="90" xfId="1" applyNumberFormat="1" applyFont="1" applyFill="1" applyBorder="1" applyAlignment="1"/>
    <xf numFmtId="0" fontId="3" fillId="0" borderId="91" xfId="1" applyNumberFormat="1" applyFont="1" applyFill="1" applyBorder="1" applyAlignment="1"/>
    <xf numFmtId="0" fontId="14" fillId="0" borderId="14" xfId="0" applyNumberFormat="1" applyFont="1" applyBorder="1"/>
    <xf numFmtId="0" fontId="13" fillId="0" borderId="76" xfId="2" applyNumberFormat="1" applyFont="1" applyFill="1" applyBorder="1" applyAlignment="1"/>
    <xf numFmtId="0" fontId="3" fillId="0" borderId="77" xfId="1" applyNumberFormat="1" applyFont="1" applyFill="1" applyBorder="1" applyAlignment="1"/>
    <xf numFmtId="0" fontId="6" fillId="6" borderId="0" xfId="1" quotePrefix="1" applyNumberFormat="1" applyFont="1" applyFill="1" applyBorder="1" applyAlignment="1"/>
    <xf numFmtId="0" fontId="5" fillId="0" borderId="64" xfId="1" applyNumberFormat="1" applyFont="1" applyFill="1" applyBorder="1" applyAlignment="1"/>
    <xf numFmtId="0" fontId="6" fillId="0" borderId="65" xfId="1" applyNumberFormat="1" applyFont="1" applyFill="1" applyBorder="1" applyAlignment="1"/>
    <xf numFmtId="0" fontId="5" fillId="0" borderId="66" xfId="1" applyNumberFormat="1" applyFont="1" applyFill="1" applyBorder="1" applyAlignment="1"/>
    <xf numFmtId="0" fontId="6" fillId="0" borderId="67" xfId="1" applyNumberFormat="1" applyFont="1" applyFill="1" applyBorder="1" applyAlignment="1"/>
    <xf numFmtId="0" fontId="5" fillId="0" borderId="65" xfId="1" applyNumberFormat="1" applyFont="1" applyFill="1" applyBorder="1" applyAlignment="1"/>
    <xf numFmtId="0" fontId="5" fillId="0" borderId="9" xfId="1" applyNumberFormat="1" applyFont="1" applyBorder="1" applyAlignment="1">
      <alignment vertical="top"/>
    </xf>
    <xf numFmtId="0" fontId="17" fillId="0" borderId="0" xfId="1" applyNumberFormat="1" applyFont="1" applyFill="1" applyBorder="1" applyAlignment="1">
      <alignment horizontal="center"/>
    </xf>
    <xf numFmtId="0" fontId="17" fillId="0" borderId="0" xfId="1" applyNumberFormat="1" applyFont="1" applyFill="1" applyBorder="1" applyAlignment="1"/>
    <xf numFmtId="0" fontId="17" fillId="0" borderId="68" xfId="1" applyNumberFormat="1" applyFont="1" applyFill="1" applyBorder="1" applyAlignment="1"/>
    <xf numFmtId="0" fontId="17" fillId="0" borderId="69" xfId="1" applyNumberFormat="1" applyFont="1" applyFill="1" applyBorder="1" applyAlignment="1">
      <alignment horizontal="center"/>
    </xf>
    <xf numFmtId="0" fontId="5" fillId="0" borderId="69" xfId="1" applyNumberFormat="1" applyFont="1" applyFill="1" applyBorder="1" applyAlignment="1">
      <alignment vertical="top"/>
    </xf>
    <xf numFmtId="0" fontId="13" fillId="0" borderId="69" xfId="2" applyNumberFormat="1" applyFont="1" applyFill="1" applyBorder="1" applyAlignment="1">
      <alignment vertical="top"/>
    </xf>
    <xf numFmtId="0" fontId="17" fillId="0" borderId="69" xfId="1" applyNumberFormat="1" applyFont="1" applyFill="1" applyBorder="1" applyAlignment="1">
      <alignment horizontal="right" vertical="top"/>
    </xf>
    <xf numFmtId="0" fontId="17" fillId="0" borderId="69" xfId="1" applyNumberFormat="1" applyFont="1" applyFill="1" applyBorder="1" applyAlignment="1">
      <alignment vertical="top"/>
    </xf>
    <xf numFmtId="0" fontId="17" fillId="0" borderId="69" xfId="1" applyNumberFormat="1" applyFont="1" applyFill="1" applyBorder="1" applyAlignment="1"/>
    <xf numFmtId="0" fontId="17" fillId="0" borderId="70" xfId="1" applyNumberFormat="1" applyFont="1" applyFill="1" applyBorder="1" applyAlignment="1">
      <alignment horizontal="right"/>
    </xf>
    <xf numFmtId="0" fontId="5" fillId="0" borderId="13" xfId="1" applyNumberFormat="1" applyFont="1" applyBorder="1" applyAlignment="1">
      <alignment vertical="top"/>
    </xf>
    <xf numFmtId="0" fontId="17" fillId="0" borderId="16" xfId="1" applyNumberFormat="1" applyFont="1" applyFill="1" applyBorder="1" applyAlignment="1">
      <alignment horizontal="center"/>
    </xf>
    <xf numFmtId="0" fontId="17" fillId="0" borderId="16" xfId="1" applyNumberFormat="1" applyFont="1" applyFill="1" applyBorder="1" applyAlignment="1"/>
    <xf numFmtId="0" fontId="17" fillId="0" borderId="15" xfId="1" applyNumberFormat="1" applyFont="1" applyFill="1" applyBorder="1" applyAlignment="1"/>
    <xf numFmtId="0" fontId="5" fillId="0" borderId="17" xfId="1" applyNumberFormat="1" applyFont="1" applyFill="1" applyBorder="1" applyAlignment="1"/>
    <xf numFmtId="0" fontId="17" fillId="0" borderId="71" xfId="1" applyNumberFormat="1" applyFont="1" applyFill="1" applyBorder="1" applyAlignment="1">
      <alignment vertical="top"/>
    </xf>
    <xf numFmtId="0" fontId="17" fillId="0" borderId="71" xfId="1" applyNumberFormat="1" applyFont="1" applyFill="1" applyBorder="1" applyAlignment="1">
      <alignment horizontal="center" vertical="top"/>
    </xf>
    <xf numFmtId="0" fontId="5" fillId="0" borderId="71" xfId="1" applyNumberFormat="1" applyFont="1" applyFill="1" applyBorder="1" applyAlignment="1">
      <alignment vertical="top"/>
    </xf>
    <xf numFmtId="0" fontId="13" fillId="0" borderId="16" xfId="2" applyNumberFormat="1" applyFont="1" applyFill="1" applyBorder="1" applyAlignment="1">
      <alignment horizontal="center"/>
    </xf>
    <xf numFmtId="0" fontId="17" fillId="0" borderId="14" xfId="2" applyNumberFormat="1" applyFont="1" applyFill="1" applyBorder="1" applyAlignment="1"/>
    <xf numFmtId="0" fontId="17" fillId="0" borderId="0" xfId="1" applyNumberFormat="1" applyFont="1" applyFill="1" applyBorder="1" applyAlignment="1">
      <alignment vertical="top"/>
    </xf>
    <xf numFmtId="0" fontId="17" fillId="0" borderId="0" xfId="1" applyNumberFormat="1" applyFont="1" applyFill="1" applyBorder="1" applyAlignment="1">
      <alignment horizontal="center" vertical="top"/>
    </xf>
    <xf numFmtId="0" fontId="13" fillId="0" borderId="0" xfId="2" applyNumberFormat="1" applyFont="1" applyFill="1" applyBorder="1" applyAlignment="1">
      <alignment horizontal="center"/>
    </xf>
    <xf numFmtId="0" fontId="17" fillId="0" borderId="0" xfId="2" applyNumberFormat="1" applyFont="1" applyFill="1" applyBorder="1" applyAlignment="1"/>
    <xf numFmtId="0" fontId="6" fillId="7" borderId="0" xfId="0" applyNumberFormat="1" applyFont="1" applyFill="1"/>
    <xf numFmtId="0" fontId="6" fillId="7" borderId="0" xfId="1" applyNumberFormat="1" applyFont="1" applyFill="1" applyAlignment="1"/>
    <xf numFmtId="0" fontId="5" fillId="7" borderId="0" xfId="1" applyNumberFormat="1" applyFont="1" applyFill="1" applyAlignment="1"/>
    <xf numFmtId="0" fontId="6" fillId="0" borderId="0" xfId="1" applyNumberFormat="1" applyFont="1" applyFill="1" applyAlignment="1"/>
    <xf numFmtId="0" fontId="6" fillId="7" borderId="0" xfId="10" applyNumberFormat="1" applyFont="1" applyFill="1" applyBorder="1" applyAlignment="1"/>
    <xf numFmtId="0" fontId="5" fillId="8" borderId="0" xfId="1" applyNumberFormat="1" applyFont="1" applyFill="1" applyAlignment="1"/>
    <xf numFmtId="0" fontId="5" fillId="0" borderId="0" xfId="2" applyNumberFormat="1" applyFont="1" applyFill="1" applyAlignment="1"/>
    <xf numFmtId="0" fontId="7" fillId="0" borderId="0" xfId="2" applyNumberFormat="1" applyFill="1" applyAlignment="1">
      <alignment horizontal="right"/>
    </xf>
    <xf numFmtId="0" fontId="3" fillId="0" borderId="0" xfId="0" applyNumberFormat="1" applyFont="1" applyFill="1"/>
    <xf numFmtId="0" fontId="2" fillId="0" borderId="0" xfId="1" applyNumberFormat="1" applyFont="1" applyFill="1" applyAlignment="1"/>
    <xf numFmtId="0" fontId="14" fillId="0" borderId="0" xfId="1" applyNumberFormat="1" applyFont="1" applyFill="1" applyAlignment="1">
      <alignment horizontal="right"/>
    </xf>
    <xf numFmtId="0" fontId="20" fillId="0" borderId="0" xfId="2" applyNumberFormat="1" applyFont="1" applyFill="1" applyBorder="1" applyAlignment="1">
      <alignment horizontal="right"/>
    </xf>
    <xf numFmtId="0" fontId="20" fillId="0" borderId="0" xfId="2" applyNumberFormat="1" applyFont="1" applyFill="1" applyBorder="1" applyAlignment="1">
      <alignment horizontal="center"/>
    </xf>
    <xf numFmtId="0" fontId="6" fillId="0" borderId="0" xfId="1" applyNumberFormat="1" applyFont="1" applyFill="1" applyAlignment="1">
      <alignment horizontal="right"/>
    </xf>
    <xf numFmtId="0" fontId="5" fillId="0" borderId="0" xfId="1" applyNumberFormat="1" applyFont="1" applyFill="1" applyAlignment="1">
      <alignment horizontal="right" vertical="top"/>
    </xf>
    <xf numFmtId="0" fontId="6" fillId="2" borderId="92" xfId="1" applyNumberFormat="1" applyFont="1" applyFill="1" applyBorder="1" applyAlignment="1"/>
    <xf numFmtId="0" fontId="6" fillId="2" borderId="93" xfId="1" applyNumberFormat="1" applyFont="1" applyFill="1" applyBorder="1" applyAlignment="1"/>
    <xf numFmtId="0" fontId="6" fillId="2" borderId="94" xfId="1" quotePrefix="1" applyNumberFormat="1" applyFont="1" applyFill="1" applyBorder="1" applyAlignment="1"/>
    <xf numFmtId="0" fontId="5" fillId="2" borderId="95" xfId="1" applyNumberFormat="1" applyFont="1" applyFill="1" applyBorder="1" applyAlignment="1"/>
    <xf numFmtId="0" fontId="5" fillId="0" borderId="0" xfId="1" applyNumberFormat="1" applyFont="1" applyAlignment="1">
      <alignment horizontal="center"/>
    </xf>
    <xf numFmtId="0" fontId="7" fillId="8" borderId="92" xfId="2" applyNumberFormat="1" applyFill="1" applyBorder="1" applyAlignment="1"/>
    <xf numFmtId="0" fontId="61" fillId="8" borderId="93" xfId="2" applyNumberFormat="1" applyFont="1" applyFill="1" applyBorder="1" applyAlignment="1"/>
    <xf numFmtId="0" fontId="5" fillId="4" borderId="92" xfId="1" applyNumberFormat="1" applyFont="1" applyFill="1" applyBorder="1" applyAlignment="1"/>
    <xf numFmtId="0" fontId="5" fillId="4" borderId="92" xfId="0" applyNumberFormat="1" applyFont="1" applyFill="1" applyBorder="1" applyAlignment="1"/>
    <xf numFmtId="0" fontId="7" fillId="4" borderId="92" xfId="2" applyNumberFormat="1" applyFill="1" applyBorder="1" applyAlignment="1"/>
    <xf numFmtId="0" fontId="8" fillId="4" borderId="92" xfId="2" applyNumberFormat="1" applyFont="1" applyFill="1" applyBorder="1" applyAlignment="1"/>
    <xf numFmtId="0" fontId="5" fillId="4" borderId="92" xfId="1" applyNumberFormat="1" applyFont="1" applyFill="1" applyBorder="1" applyAlignment="1">
      <alignment horizontal="center"/>
    </xf>
    <xf numFmtId="0" fontId="6" fillId="11" borderId="92" xfId="1" applyNumberFormat="1" applyFont="1" applyFill="1" applyBorder="1" applyAlignment="1"/>
    <xf numFmtId="0" fontId="29" fillId="11" borderId="92" xfId="2" applyNumberFormat="1" applyFont="1" applyFill="1" applyBorder="1" applyAlignment="1"/>
    <xf numFmtId="0" fontId="11" fillId="11" borderId="92" xfId="2" applyNumberFormat="1" applyFont="1" applyFill="1" applyBorder="1" applyAlignment="1"/>
    <xf numFmtId="0" fontId="6" fillId="11" borderId="92" xfId="1" applyNumberFormat="1" applyFont="1" applyFill="1" applyBorder="1" applyAlignment="1">
      <alignment horizontal="center"/>
    </xf>
    <xf numFmtId="0" fontId="5" fillId="0" borderId="97" xfId="1" applyNumberFormat="1" applyFont="1" applyBorder="1" applyAlignment="1"/>
    <xf numFmtId="0" fontId="5" fillId="0" borderId="97" xfId="1" applyNumberFormat="1" applyFont="1" applyBorder="1" applyAlignment="1">
      <alignment horizontal="center"/>
    </xf>
    <xf numFmtId="0" fontId="5" fillId="12" borderId="96" xfId="1" applyNumberFormat="1" applyFont="1" applyFill="1" applyBorder="1" applyAlignment="1"/>
    <xf numFmtId="0" fontId="5" fillId="12" borderId="96" xfId="0" applyNumberFormat="1" applyFont="1" applyFill="1" applyBorder="1" applyAlignment="1"/>
    <xf numFmtId="0" fontId="5" fillId="12" borderId="120" xfId="2" applyNumberFormat="1" applyFont="1" applyFill="1" applyBorder="1" applyAlignment="1"/>
    <xf numFmtId="0" fontId="5" fillId="12" borderId="120" xfId="0" applyNumberFormat="1" applyFont="1" applyFill="1" applyBorder="1" applyAlignment="1"/>
    <xf numFmtId="0" fontId="30" fillId="12" borderId="120" xfId="2" applyNumberFormat="1" applyFont="1" applyFill="1" applyBorder="1" applyAlignment="1">
      <alignment horizontal="right"/>
    </xf>
    <xf numFmtId="0" fontId="8" fillId="12" borderId="120" xfId="2" applyNumberFormat="1" applyFont="1" applyFill="1" applyBorder="1" applyAlignment="1"/>
    <xf numFmtId="0" fontId="5" fillId="12" borderId="120" xfId="1" applyNumberFormat="1" applyFont="1" applyFill="1" applyBorder="1" applyAlignment="1">
      <alignment horizontal="center"/>
    </xf>
    <xf numFmtId="0" fontId="5" fillId="12" borderId="120" xfId="2" applyNumberFormat="1" applyFont="1" applyFill="1" applyBorder="1" applyAlignment="1">
      <alignment horizontal="center"/>
    </xf>
    <xf numFmtId="0" fontId="6" fillId="10" borderId="98" xfId="1" applyNumberFormat="1" applyFont="1" applyFill="1" applyBorder="1" applyAlignment="1"/>
    <xf numFmtId="0" fontId="29" fillId="10" borderId="98" xfId="2" applyNumberFormat="1" applyFont="1" applyFill="1" applyBorder="1" applyAlignment="1"/>
    <xf numFmtId="0" fontId="11" fillId="10" borderId="98" xfId="2" applyNumberFormat="1" applyFont="1" applyFill="1" applyBorder="1" applyAlignment="1"/>
    <xf numFmtId="0" fontId="6" fillId="10" borderId="98" xfId="0" applyNumberFormat="1" applyFont="1" applyFill="1" applyBorder="1" applyAlignment="1"/>
    <xf numFmtId="0" fontId="6" fillId="10" borderId="98" xfId="1" applyNumberFormat="1" applyFont="1" applyFill="1" applyBorder="1" applyAlignment="1">
      <alignment horizontal="center"/>
    </xf>
    <xf numFmtId="0" fontId="6" fillId="0" borderId="93" xfId="1" applyNumberFormat="1" applyFont="1" applyFill="1" applyBorder="1" applyAlignment="1"/>
    <xf numFmtId="0" fontId="29" fillId="0" borderId="93" xfId="2" applyNumberFormat="1" applyFont="1" applyFill="1" applyBorder="1" applyAlignment="1"/>
    <xf numFmtId="0" fontId="11" fillId="0" borderId="93" xfId="2" applyNumberFormat="1" applyFont="1" applyFill="1" applyBorder="1" applyAlignment="1"/>
    <xf numFmtId="0" fontId="6" fillId="0" borderId="93" xfId="0" applyNumberFormat="1" applyFont="1" applyFill="1" applyBorder="1" applyAlignment="1"/>
    <xf numFmtId="0" fontId="6" fillId="0" borderId="93" xfId="1" applyNumberFormat="1" applyFont="1" applyFill="1" applyBorder="1" applyAlignment="1">
      <alignment horizontal="center"/>
    </xf>
    <xf numFmtId="0" fontId="5" fillId="6" borderId="93" xfId="1" applyNumberFormat="1" applyFont="1" applyFill="1" applyBorder="1" applyAlignment="1"/>
    <xf numFmtId="0" fontId="5" fillId="6" borderId="93" xfId="2" applyNumberFormat="1" applyFont="1" applyFill="1" applyBorder="1" applyAlignment="1"/>
    <xf numFmtId="0" fontId="8" fillId="6" borderId="93" xfId="2" applyNumberFormat="1" applyFont="1" applyFill="1" applyBorder="1" applyAlignment="1"/>
    <xf numFmtId="0" fontId="5" fillId="6" borderId="93" xfId="0" applyNumberFormat="1" applyFont="1" applyFill="1" applyBorder="1" applyAlignment="1"/>
    <xf numFmtId="0" fontId="5" fillId="6" borderId="93" xfId="1" applyNumberFormat="1" applyFont="1" applyFill="1" applyBorder="1" applyAlignment="1">
      <alignment horizontal="center"/>
    </xf>
    <xf numFmtId="0" fontId="6" fillId="11" borderId="93" xfId="1" applyNumberFormat="1" applyFont="1" applyFill="1" applyBorder="1" applyAlignment="1"/>
    <xf numFmtId="0" fontId="32" fillId="11" borderId="93" xfId="2" applyNumberFormat="1" applyFont="1" applyFill="1" applyBorder="1" applyAlignment="1"/>
    <xf numFmtId="0" fontId="11" fillId="11" borderId="93" xfId="2" applyNumberFormat="1" applyFont="1" applyFill="1" applyBorder="1" applyAlignment="1"/>
    <xf numFmtId="0" fontId="6" fillId="11" borderId="93" xfId="1" applyNumberFormat="1" applyFont="1" applyFill="1" applyBorder="1" applyAlignment="1">
      <alignment horizontal="center"/>
    </xf>
    <xf numFmtId="0" fontId="7" fillId="8" borderId="93" xfId="2" applyNumberFormat="1" applyFill="1" applyBorder="1" applyAlignment="1"/>
    <xf numFmtId="0" fontId="5" fillId="0" borderId="0" xfId="1" applyNumberFormat="1" applyFont="1" applyBorder="1" applyAlignment="1"/>
    <xf numFmtId="0" fontId="8" fillId="0" borderId="0" xfId="8" applyNumberFormat="1" applyFont="1" applyBorder="1" applyAlignment="1"/>
    <xf numFmtId="0" fontId="5" fillId="0" borderId="0" xfId="1" applyNumberFormat="1" applyFont="1" applyBorder="1" applyAlignment="1">
      <alignment horizontal="center"/>
    </xf>
    <xf numFmtId="0" fontId="5" fillId="4" borderId="98" xfId="1" applyNumberFormat="1" applyFont="1" applyFill="1" applyBorder="1" applyAlignment="1"/>
    <xf numFmtId="0" fontId="5" fillId="4" borderId="98" xfId="0" applyNumberFormat="1" applyFont="1" applyFill="1" applyBorder="1" applyAlignment="1"/>
    <xf numFmtId="0" fontId="5" fillId="4" borderId="93" xfId="0" applyNumberFormat="1" applyFont="1" applyFill="1" applyBorder="1" applyAlignment="1"/>
    <xf numFmtId="0" fontId="7" fillId="4" borderId="93" xfId="2" applyNumberFormat="1" applyFill="1" applyBorder="1" applyAlignment="1"/>
    <xf numFmtId="0" fontId="8" fillId="4" borderId="93" xfId="2" applyNumberFormat="1" applyFont="1" applyFill="1" applyBorder="1" applyAlignment="1"/>
    <xf numFmtId="0" fontId="5" fillId="4" borderId="93" xfId="1" applyNumberFormat="1" applyFont="1" applyFill="1" applyBorder="1" applyAlignment="1">
      <alignment horizontal="center"/>
    </xf>
    <xf numFmtId="0" fontId="6" fillId="10" borderId="92" xfId="1" applyNumberFormat="1" applyFont="1" applyFill="1" applyBorder="1" applyAlignment="1">
      <alignment vertical="center"/>
    </xf>
    <xf numFmtId="0" fontId="6" fillId="10" borderId="92" xfId="1" applyNumberFormat="1" applyFont="1" applyFill="1" applyBorder="1" applyAlignment="1"/>
    <xf numFmtId="0" fontId="29" fillId="10" borderId="92" xfId="2" applyNumberFormat="1" applyFont="1" applyFill="1" applyBorder="1" applyAlignment="1"/>
    <xf numFmtId="0" fontId="11" fillId="10" borderId="92" xfId="2" applyNumberFormat="1" applyFont="1" applyFill="1" applyBorder="1" applyAlignment="1"/>
    <xf numFmtId="0" fontId="6" fillId="10" borderId="92" xfId="0" applyNumberFormat="1" applyFont="1" applyFill="1" applyBorder="1" applyAlignment="1"/>
    <xf numFmtId="0" fontId="6" fillId="10" borderId="92" xfId="1" applyNumberFormat="1" applyFont="1" applyFill="1" applyBorder="1" applyAlignment="1">
      <alignment horizontal="center"/>
    </xf>
    <xf numFmtId="0" fontId="29" fillId="11" borderId="93" xfId="2" applyNumberFormat="1" applyFont="1" applyFill="1" applyBorder="1" applyAlignment="1"/>
    <xf numFmtId="0" fontId="6" fillId="11" borderId="93" xfId="0" applyNumberFormat="1" applyFont="1" applyFill="1" applyBorder="1" applyAlignment="1"/>
    <xf numFmtId="0" fontId="5" fillId="4" borderId="93" xfId="1" applyNumberFormat="1" applyFont="1" applyFill="1" applyBorder="1" applyAlignment="1"/>
    <xf numFmtId="0" fontId="6" fillId="11" borderId="96" xfId="1" applyNumberFormat="1" applyFont="1" applyFill="1" applyBorder="1" applyAlignment="1"/>
    <xf numFmtId="0" fontId="6" fillId="11" borderId="92" xfId="0" applyNumberFormat="1" applyFont="1" applyFill="1" applyBorder="1" applyAlignment="1"/>
    <xf numFmtId="0" fontId="31" fillId="14" borderId="93" xfId="1" applyNumberFormat="1" applyFont="1" applyFill="1" applyBorder="1" applyAlignment="1"/>
    <xf numFmtId="0" fontId="31" fillId="14" borderId="93" xfId="0" applyNumberFormat="1" applyFont="1" applyFill="1" applyBorder="1" applyAlignment="1"/>
    <xf numFmtId="0" fontId="34" fillId="14" borderId="93" xfId="0" applyNumberFormat="1" applyFont="1" applyFill="1" applyBorder="1"/>
    <xf numFmtId="0" fontId="31" fillId="14" borderId="93" xfId="2" applyNumberFormat="1" applyFont="1" applyFill="1" applyBorder="1" applyAlignment="1"/>
    <xf numFmtId="0" fontId="35" fillId="14" borderId="93" xfId="2" applyNumberFormat="1" applyFont="1" applyFill="1" applyBorder="1" applyAlignment="1"/>
    <xf numFmtId="0" fontId="31" fillId="14" borderId="93" xfId="1" applyNumberFormat="1" applyFont="1" applyFill="1" applyBorder="1" applyAlignment="1">
      <alignment horizontal="center"/>
    </xf>
    <xf numFmtId="0" fontId="2" fillId="15" borderId="93" xfId="1" applyNumberFormat="1" applyFont="1" applyFill="1" applyBorder="1" applyAlignment="1"/>
    <xf numFmtId="0" fontId="5" fillId="15" borderId="93" xfId="0" applyNumberFormat="1" applyFont="1" applyFill="1" applyBorder="1" applyAlignment="1"/>
    <xf numFmtId="0" fontId="25" fillId="15" borderId="93" xfId="0" applyNumberFormat="1" applyFont="1" applyFill="1" applyBorder="1"/>
    <xf numFmtId="0" fontId="5" fillId="15" borderId="93" xfId="2" applyNumberFormat="1" applyFont="1" applyFill="1" applyBorder="1" applyAlignment="1"/>
    <xf numFmtId="0" fontId="12" fillId="15" borderId="93" xfId="2" applyNumberFormat="1" applyFont="1" applyFill="1" applyBorder="1" applyAlignment="1"/>
    <xf numFmtId="0" fontId="5" fillId="15" borderId="93" xfId="1" applyNumberFormat="1" applyFont="1" applyFill="1" applyBorder="1" applyAlignment="1">
      <alignment horizontal="center"/>
    </xf>
    <xf numFmtId="0" fontId="31" fillId="0" borderId="99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/>
    <xf numFmtId="0" fontId="5" fillId="0" borderId="0" xfId="1" applyNumberFormat="1" applyFont="1" applyFill="1" applyBorder="1" applyAlignment="1">
      <alignment horizontal="center"/>
    </xf>
    <xf numFmtId="0" fontId="5" fillId="4" borderId="0" xfId="0" applyNumberFormat="1" applyFont="1" applyFill="1" applyBorder="1"/>
    <xf numFmtId="0" fontId="5" fillId="4" borderId="0" xfId="1" applyNumberFormat="1" applyFont="1" applyFill="1" applyBorder="1" applyAlignment="1">
      <alignment vertical="center"/>
    </xf>
    <xf numFmtId="0" fontId="5" fillId="4" borderId="0" xfId="1" applyNumberFormat="1" applyFont="1" applyFill="1" applyBorder="1" applyAlignment="1"/>
    <xf numFmtId="0" fontId="5" fillId="4" borderId="0" xfId="0" applyNumberFormat="1" applyFont="1" applyFill="1" applyBorder="1" applyAlignment="1"/>
    <xf numFmtId="0" fontId="8" fillId="4" borderId="0" xfId="2" applyNumberFormat="1" applyFont="1" applyFill="1" applyBorder="1" applyAlignment="1"/>
    <xf numFmtId="0" fontId="6" fillId="0" borderId="0" xfId="10" applyNumberFormat="1" applyFont="1" applyFill="1" applyBorder="1" applyAlignment="1"/>
    <xf numFmtId="0" fontId="6" fillId="0" borderId="0" xfId="6" applyNumberFormat="1" applyFont="1" applyFill="1" applyBorder="1" applyAlignment="1"/>
    <xf numFmtId="0" fontId="2" fillId="0" borderId="0" xfId="1" applyNumberFormat="1" applyFont="1" applyAlignment="1"/>
    <xf numFmtId="0" fontId="51" fillId="0" borderId="0" xfId="47" applyNumberFormat="1" applyFont="1"/>
    <xf numFmtId="0" fontId="1" fillId="0" borderId="0" xfId="47" applyNumberFormat="1"/>
    <xf numFmtId="0" fontId="1" fillId="0" borderId="0" xfId="50" applyNumberFormat="1" applyFont="1"/>
    <xf numFmtId="0" fontId="1" fillId="0" borderId="0" xfId="50" applyNumberFormat="1" applyFont="1" applyFill="1" applyAlignment="1"/>
    <xf numFmtId="0" fontId="1" fillId="0" borderId="0" xfId="50" applyNumberFormat="1" applyFont="1" applyFill="1" applyBorder="1" applyAlignment="1"/>
    <xf numFmtId="0" fontId="1" fillId="0" borderId="0" xfId="47" applyNumberFormat="1" applyFill="1"/>
    <xf numFmtId="0" fontId="3" fillId="2" borderId="0" xfId="47" applyNumberFormat="1" applyFont="1" applyFill="1"/>
    <xf numFmtId="0" fontId="1" fillId="2" borderId="0" xfId="50" applyNumberFormat="1" applyFont="1" applyFill="1"/>
    <xf numFmtId="0" fontId="1" fillId="2" borderId="0" xfId="47" applyNumberFormat="1" applyFill="1"/>
    <xf numFmtId="0" fontId="1" fillId="0" borderId="0" xfId="54" applyNumberFormat="1" applyFont="1"/>
    <xf numFmtId="0" fontId="1" fillId="0" borderId="0" xfId="50" applyNumberFormat="1" applyFont="1" applyBorder="1"/>
    <xf numFmtId="0" fontId="0" fillId="8" borderId="0" xfId="47" applyNumberFormat="1" applyFont="1" applyFill="1" applyAlignment="1">
      <alignment horizontal="right"/>
    </xf>
    <xf numFmtId="0" fontId="0" fillId="0" borderId="0" xfId="47" applyNumberFormat="1" applyFont="1" applyAlignment="1">
      <alignment horizontal="center"/>
    </xf>
    <xf numFmtId="0" fontId="0" fillId="0" borderId="0" xfId="50" applyNumberFormat="1" applyFont="1"/>
    <xf numFmtId="0" fontId="0" fillId="15" borderId="0" xfId="47" applyNumberFormat="1" applyFont="1" applyFill="1" applyAlignment="1">
      <alignment horizontal="right"/>
    </xf>
    <xf numFmtId="0" fontId="0" fillId="0" borderId="0" xfId="50" applyNumberFormat="1" applyFont="1" applyBorder="1" applyAlignment="1"/>
    <xf numFmtId="0" fontId="0" fillId="18" borderId="0" xfId="47" applyNumberFormat="1" applyFont="1" applyFill="1" applyAlignment="1">
      <alignment horizontal="right"/>
    </xf>
    <xf numFmtId="0" fontId="60" fillId="0" borderId="0" xfId="50" applyNumberFormat="1" applyFont="1" applyAlignment="1">
      <alignment horizontal="right"/>
    </xf>
    <xf numFmtId="0" fontId="36" fillId="0" borderId="0" xfId="50" applyNumberFormat="1" applyFont="1" applyBorder="1"/>
    <xf numFmtId="0" fontId="3" fillId="0" borderId="112" xfId="47" applyNumberFormat="1" applyFont="1" applyBorder="1" applyAlignment="1">
      <alignment horizontal="center"/>
    </xf>
    <xf numFmtId="0" fontId="3" fillId="0" borderId="113" xfId="47" applyNumberFormat="1" applyFont="1" applyBorder="1" applyAlignment="1"/>
    <xf numFmtId="0" fontId="3" fillId="0" borderId="114" xfId="47" applyNumberFormat="1" applyFont="1" applyBorder="1" applyAlignment="1"/>
    <xf numFmtId="0" fontId="3" fillId="0" borderId="115" xfId="47" applyNumberFormat="1" applyFont="1" applyBorder="1" applyAlignment="1"/>
    <xf numFmtId="0" fontId="3" fillId="0" borderId="112" xfId="47" applyNumberFormat="1" applyFont="1" applyBorder="1" applyAlignment="1"/>
    <xf numFmtId="0" fontId="3" fillId="0" borderId="114" xfId="50" applyNumberFormat="1" applyFont="1" applyBorder="1" applyAlignment="1">
      <alignment horizontal="center"/>
    </xf>
    <xf numFmtId="0" fontId="1" fillId="0" borderId="115" xfId="50" applyNumberFormat="1" applyFont="1" applyBorder="1"/>
    <xf numFmtId="0" fontId="3" fillId="0" borderId="0" xfId="47" applyNumberFormat="1" applyFont="1" applyAlignment="1">
      <alignment horizontal="center"/>
    </xf>
    <xf numFmtId="0" fontId="3" fillId="8" borderId="96" xfId="50" applyNumberFormat="1" applyFont="1" applyFill="1" applyBorder="1" applyAlignment="1">
      <alignment horizontal="center"/>
    </xf>
    <xf numFmtId="0" fontId="3" fillId="0" borderId="96" xfId="50" applyNumberFormat="1" applyFont="1" applyBorder="1" applyAlignment="1">
      <alignment horizontal="center"/>
    </xf>
    <xf numFmtId="0" fontId="3" fillId="0" borderId="96" xfId="50" applyNumberFormat="1" applyFont="1" applyFill="1" applyBorder="1" applyAlignment="1">
      <alignment horizontal="center"/>
    </xf>
    <xf numFmtId="0" fontId="3" fillId="0" borderId="96" xfId="55" applyNumberFormat="1" applyFont="1" applyBorder="1" applyAlignment="1">
      <alignment horizontal="center"/>
    </xf>
    <xf numFmtId="0" fontId="1" fillId="0" borderId="96" xfId="50" applyNumberFormat="1" applyFont="1" applyBorder="1" applyAlignment="1">
      <alignment horizontal="center"/>
    </xf>
    <xf numFmtId="0" fontId="3" fillId="0" borderId="112" xfId="47" applyNumberFormat="1" applyFont="1" applyBorder="1" applyAlignment="1">
      <alignment vertical="center"/>
    </xf>
    <xf numFmtId="0" fontId="0" fillId="0" borderId="112" xfId="47" applyNumberFormat="1" applyFont="1" applyBorder="1"/>
    <xf numFmtId="0" fontId="0" fillId="0" borderId="113" xfId="47" applyNumberFormat="1" applyFont="1" applyFill="1" applyBorder="1" applyAlignment="1">
      <alignment horizontal="center" vertical="center"/>
    </xf>
    <xf numFmtId="0" fontId="0" fillId="0" borderId="114" xfId="47" applyNumberFormat="1" applyFont="1" applyFill="1" applyBorder="1" applyAlignment="1">
      <alignment horizontal="center" vertical="center"/>
    </xf>
    <xf numFmtId="0" fontId="1" fillId="0" borderId="114" xfId="47" applyNumberFormat="1" applyFill="1" applyBorder="1" applyAlignment="1">
      <alignment vertical="center"/>
    </xf>
    <xf numFmtId="0" fontId="3" fillId="0" borderId="112" xfId="0" applyNumberFormat="1" applyFont="1" applyFill="1" applyBorder="1" applyAlignment="1">
      <alignment horizontal="center" vertical="center"/>
    </xf>
    <xf numFmtId="0" fontId="3" fillId="0" borderId="113" xfId="47" applyNumberFormat="1" applyFont="1" applyFill="1" applyBorder="1" applyAlignment="1">
      <alignment horizontal="center" vertical="center"/>
    </xf>
    <xf numFmtId="0" fontId="0" fillId="0" borderId="115" xfId="47" applyNumberFormat="1" applyFont="1" applyFill="1" applyBorder="1" applyAlignment="1">
      <alignment horizontal="center" vertical="center"/>
    </xf>
    <xf numFmtId="0" fontId="1" fillId="0" borderId="0" xfId="50" applyNumberFormat="1" applyFont="1" applyFill="1" applyAlignment="1">
      <alignment vertical="center"/>
    </xf>
    <xf numFmtId="0" fontId="3" fillId="0" borderId="96" xfId="55" applyNumberFormat="1" applyFont="1" applyBorder="1" applyAlignment="1">
      <alignment horizontal="center" vertical="center"/>
    </xf>
    <xf numFmtId="0" fontId="1" fillId="2" borderId="96" xfId="50" applyNumberFormat="1" applyFont="1" applyFill="1" applyBorder="1" applyAlignment="1">
      <alignment horizontal="center" vertical="center"/>
    </xf>
    <xf numFmtId="0" fontId="1" fillId="2" borderId="96" xfId="50" applyNumberFormat="1" applyFont="1" applyFill="1" applyBorder="1" applyAlignment="1">
      <alignment vertical="center"/>
    </xf>
    <xf numFmtId="0" fontId="1" fillId="0" borderId="112" xfId="47" applyNumberFormat="1" applyBorder="1"/>
    <xf numFmtId="0" fontId="0" fillId="0" borderId="112" xfId="50" applyNumberFormat="1" applyFont="1" applyFill="1" applyBorder="1" applyAlignment="1">
      <alignment vertical="center" wrapText="1"/>
    </xf>
    <xf numFmtId="0" fontId="0" fillId="0" borderId="112" xfId="50" applyNumberFormat="1" applyFont="1" applyBorder="1" applyAlignment="1">
      <alignment vertical="center" wrapText="1"/>
    </xf>
    <xf numFmtId="0" fontId="0" fillId="0" borderId="0" xfId="50" applyNumberFormat="1" applyFont="1" applyAlignment="1">
      <alignment horizontal="right"/>
    </xf>
    <xf numFmtId="0" fontId="1" fillId="0" borderId="0" xfId="47" applyNumberFormat="1" applyAlignment="1">
      <alignment horizontal="center"/>
    </xf>
    <xf numFmtId="0" fontId="3" fillId="0" borderId="112" xfId="45" applyNumberFormat="1" applyFont="1" applyBorder="1" applyAlignment="1">
      <alignment vertical="center"/>
    </xf>
    <xf numFmtId="0" fontId="1" fillId="0" borderId="112" xfId="55" applyNumberFormat="1" applyFont="1" applyFill="1" applyBorder="1" applyAlignment="1">
      <alignment vertical="center" wrapText="1"/>
    </xf>
    <xf numFmtId="0" fontId="1" fillId="0" borderId="0" xfId="55" applyNumberFormat="1" applyFont="1" applyAlignment="1">
      <alignment vertical="center"/>
    </xf>
    <xf numFmtId="0" fontId="3" fillId="0" borderId="0" xfId="0" applyNumberFormat="1" applyFont="1"/>
    <xf numFmtId="0" fontId="0" fillId="0" borderId="0" xfId="0" applyNumberFormat="1"/>
    <xf numFmtId="0" fontId="0" fillId="0" borderId="0" xfId="0" quotePrefix="1" applyNumberFormat="1"/>
    <xf numFmtId="0" fontId="38" fillId="0" borderId="0" xfId="0" applyNumberFormat="1" applyFont="1"/>
    <xf numFmtId="0" fontId="36" fillId="0" borderId="0" xfId="1" applyNumberFormat="1" applyFont="1"/>
    <xf numFmtId="0" fontId="1" fillId="0" borderId="0" xfId="1" applyNumberFormat="1" applyFont="1"/>
    <xf numFmtId="0" fontId="3" fillId="8" borderId="96" xfId="1" applyNumberFormat="1" applyFont="1" applyFill="1" applyBorder="1" applyAlignment="1">
      <alignment horizontal="center"/>
    </xf>
    <xf numFmtId="0" fontId="3" fillId="0" borderId="96" xfId="1" applyNumberFormat="1" applyFont="1" applyBorder="1" applyAlignment="1">
      <alignment horizontal="center"/>
    </xf>
    <xf numFmtId="0" fontId="1" fillId="0" borderId="96" xfId="1" applyNumberFormat="1" applyFont="1" applyBorder="1"/>
    <xf numFmtId="0" fontId="3" fillId="8" borderId="96" xfId="1" applyNumberFormat="1" applyFont="1" applyFill="1" applyBorder="1" applyAlignment="1">
      <alignment horizontal="center" vertical="top"/>
    </xf>
    <xf numFmtId="0" fontId="3" fillId="0" borderId="96" xfId="6" applyNumberFormat="1" applyFont="1" applyBorder="1" applyAlignment="1">
      <alignment horizontal="center"/>
    </xf>
    <xf numFmtId="0" fontId="1" fillId="2" borderId="96" xfId="1" applyNumberFormat="1" applyFont="1" applyFill="1" applyBorder="1"/>
    <xf numFmtId="0" fontId="1" fillId="2" borderId="96" xfId="1" applyNumberFormat="1" applyFont="1" applyFill="1" applyBorder="1" applyAlignment="1">
      <alignment horizontal="center"/>
    </xf>
    <xf numFmtId="0" fontId="1" fillId="0" borderId="122" xfId="55" applyNumberFormat="1" applyFont="1" applyFill="1" applyBorder="1" applyAlignment="1">
      <alignment vertical="center"/>
    </xf>
    <xf numFmtId="0" fontId="1" fillId="0" borderId="123" xfId="47" applyNumberFormat="1" applyBorder="1"/>
    <xf numFmtId="0" fontId="1" fillId="0" borderId="124" xfId="47" applyNumberFormat="1" applyBorder="1"/>
    <xf numFmtId="0" fontId="3" fillId="0" borderId="125" xfId="47" applyNumberFormat="1" applyFont="1" applyBorder="1" applyAlignment="1">
      <alignment horizontal="center"/>
    </xf>
    <xf numFmtId="0" fontId="3" fillId="0" borderId="126" xfId="47" applyNumberFormat="1" applyFont="1" applyBorder="1" applyAlignment="1"/>
    <xf numFmtId="0" fontId="3" fillId="0" borderId="127" xfId="47" applyNumberFormat="1" applyFont="1" applyBorder="1" applyAlignment="1"/>
    <xf numFmtId="0" fontId="3" fillId="0" borderId="128" xfId="47" applyNumberFormat="1" applyFont="1" applyBorder="1" applyAlignment="1"/>
    <xf numFmtId="0" fontId="3" fillId="0" borderId="125" xfId="47" applyNumberFormat="1" applyFont="1" applyBorder="1" applyAlignment="1"/>
    <xf numFmtId="0" fontId="3" fillId="0" borderId="127" xfId="50" applyNumberFormat="1" applyFont="1" applyBorder="1" applyAlignment="1">
      <alignment horizontal="center"/>
    </xf>
    <xf numFmtId="0" fontId="1" fillId="0" borderId="128" xfId="50" applyNumberFormat="1" applyFont="1" applyBorder="1"/>
    <xf numFmtId="0" fontId="3" fillId="0" borderId="125" xfId="47" applyNumberFormat="1" applyFont="1" applyBorder="1" applyAlignment="1">
      <alignment vertical="center"/>
    </xf>
    <xf numFmtId="0" fontId="0" fillId="0" borderId="125" xfId="47" applyNumberFormat="1" applyFont="1" applyBorder="1"/>
    <xf numFmtId="0" fontId="0" fillId="0" borderId="126" xfId="47" applyNumberFormat="1" applyFont="1" applyFill="1" applyBorder="1" applyAlignment="1">
      <alignment horizontal="center" vertical="center"/>
    </xf>
    <xf numFmtId="0" fontId="0" fillId="0" borderId="127" xfId="47" applyNumberFormat="1" applyFont="1" applyFill="1" applyBorder="1" applyAlignment="1">
      <alignment horizontal="center" vertical="center"/>
    </xf>
    <xf numFmtId="0" fontId="1" fillId="0" borderId="127" xfId="47" applyNumberFormat="1" applyFill="1" applyBorder="1" applyAlignment="1">
      <alignment vertical="center"/>
    </xf>
    <xf numFmtId="0" fontId="3" fillId="0" borderId="125" xfId="0" applyNumberFormat="1" applyFont="1" applyFill="1" applyBorder="1" applyAlignment="1">
      <alignment horizontal="center" vertical="center"/>
    </xf>
    <xf numFmtId="0" fontId="3" fillId="0" borderId="126" xfId="47" applyNumberFormat="1" applyFont="1" applyFill="1" applyBorder="1" applyAlignment="1">
      <alignment horizontal="center" vertical="center"/>
    </xf>
    <xf numFmtId="0" fontId="0" fillId="0" borderId="128" xfId="47" applyNumberFormat="1" applyFont="1" applyFill="1" applyBorder="1" applyAlignment="1">
      <alignment horizontal="center" vertical="center"/>
    </xf>
    <xf numFmtId="0" fontId="1" fillId="0" borderId="125" xfId="47" applyNumberFormat="1" applyBorder="1"/>
    <xf numFmtId="0" fontId="0" fillId="0" borderId="125" xfId="50" applyNumberFormat="1" applyFont="1" applyFill="1" applyBorder="1" applyAlignment="1">
      <alignment vertical="center" wrapText="1"/>
    </xf>
    <xf numFmtId="0" fontId="0" fillId="0" borderId="125" xfId="50" applyNumberFormat="1" applyFont="1" applyBorder="1" applyAlignment="1">
      <alignment vertical="center" wrapText="1"/>
    </xf>
    <xf numFmtId="0" fontId="3" fillId="0" borderId="125" xfId="45" applyNumberFormat="1" applyFont="1" applyBorder="1" applyAlignment="1">
      <alignment vertical="center"/>
    </xf>
    <xf numFmtId="0" fontId="1" fillId="0" borderId="125" xfId="55" applyNumberFormat="1" applyFont="1" applyFill="1" applyBorder="1" applyAlignment="1">
      <alignment vertical="center" wrapText="1"/>
    </xf>
    <xf numFmtId="0" fontId="1" fillId="0" borderId="0" xfId="45" applyNumberFormat="1" applyFont="1" applyFill="1" applyAlignment="1"/>
    <xf numFmtId="0" fontId="1" fillId="2" borderId="0" xfId="45" applyNumberFormat="1" applyFont="1" applyFill="1" applyAlignment="1"/>
    <xf numFmtId="0" fontId="6" fillId="0" borderId="0" xfId="46" applyNumberFormat="1" applyFont="1" applyBorder="1" applyAlignment="1"/>
    <xf numFmtId="0" fontId="1" fillId="2" borderId="0" xfId="45" applyNumberFormat="1" applyFont="1" applyFill="1" applyAlignment="1">
      <alignment horizontal="center"/>
    </xf>
    <xf numFmtId="0" fontId="38" fillId="0" borderId="0" xfId="50" applyNumberFormat="1" applyFont="1" applyFill="1" applyBorder="1" applyAlignment="1"/>
    <xf numFmtId="0" fontId="1" fillId="0" borderId="0" xfId="45" applyNumberFormat="1" applyFont="1" applyFill="1" applyAlignment="1">
      <alignment horizontal="center"/>
    </xf>
    <xf numFmtId="0" fontId="39" fillId="0" borderId="100" xfId="45" applyNumberFormat="1" applyFont="1" applyBorder="1" applyAlignment="1">
      <alignment vertical="top" wrapText="1"/>
    </xf>
    <xf numFmtId="0" fontId="39" fillId="0" borderId="101" xfId="45" applyNumberFormat="1" applyFont="1" applyBorder="1" applyAlignment="1">
      <alignment vertical="top" wrapText="1"/>
    </xf>
    <xf numFmtId="0" fontId="39" fillId="0" borderId="103" xfId="45" applyNumberFormat="1" applyFont="1" applyBorder="1" applyAlignment="1">
      <alignment vertical="top" wrapText="1"/>
    </xf>
    <xf numFmtId="0" fontId="0" fillId="2" borderId="101" xfId="45" applyNumberFormat="1" applyFont="1" applyFill="1" applyBorder="1" applyAlignment="1">
      <alignment horizontal="center"/>
    </xf>
    <xf numFmtId="0" fontId="1" fillId="2" borderId="102" xfId="45" applyNumberFormat="1" applyFont="1" applyFill="1" applyBorder="1" applyAlignment="1">
      <alignment horizontal="center"/>
    </xf>
    <xf numFmtId="0" fontId="0" fillId="2" borderId="102" xfId="45" applyNumberFormat="1" applyFont="1" applyFill="1" applyBorder="1" applyAlignment="1">
      <alignment horizontal="center"/>
    </xf>
    <xf numFmtId="0" fontId="43" fillId="0" borderId="100" xfId="45" applyNumberFormat="1" applyFont="1" applyFill="1" applyBorder="1" applyAlignment="1"/>
    <xf numFmtId="0" fontId="44" fillId="0" borderId="101" xfId="45" applyNumberFormat="1" applyFont="1" applyBorder="1" applyAlignment="1"/>
    <xf numFmtId="0" fontId="45" fillId="0" borderId="100" xfId="45" applyNumberFormat="1" applyFont="1" applyFill="1" applyBorder="1" applyAlignment="1"/>
    <xf numFmtId="0" fontId="44" fillId="0" borderId="103" xfId="45" applyNumberFormat="1" applyFont="1" applyBorder="1" applyAlignment="1"/>
    <xf numFmtId="0" fontId="46" fillId="0" borderId="100" xfId="45" applyNumberFormat="1" applyFont="1" applyBorder="1" applyAlignment="1">
      <alignment horizontal="center"/>
    </xf>
    <xf numFmtId="0" fontId="44" fillId="0" borderId="100" xfId="45" applyNumberFormat="1" applyFont="1" applyBorder="1" applyAlignment="1"/>
    <xf numFmtId="0" fontId="47" fillId="0" borderId="100" xfId="45" applyNumberFormat="1" applyFont="1" applyBorder="1" applyAlignment="1">
      <alignment horizontal="center"/>
    </xf>
    <xf numFmtId="0" fontId="48" fillId="0" borderId="100" xfId="45" applyNumberFormat="1" applyFont="1" applyBorder="1" applyAlignment="1">
      <alignment horizontal="center"/>
    </xf>
    <xf numFmtId="0" fontId="51" fillId="0" borderId="100" xfId="45" applyNumberFormat="1" applyFont="1" applyFill="1" applyBorder="1" applyAlignment="1"/>
    <xf numFmtId="0" fontId="44" fillId="0" borderId="101" xfId="45" applyNumberFormat="1" applyFont="1" applyFill="1" applyBorder="1" applyAlignment="1"/>
    <xf numFmtId="0" fontId="50" fillId="0" borderId="100" xfId="45" applyNumberFormat="1" applyFont="1" applyFill="1" applyBorder="1" applyAlignment="1"/>
    <xf numFmtId="0" fontId="44" fillId="0" borderId="103" xfId="45" applyNumberFormat="1" applyFont="1" applyFill="1" applyBorder="1" applyAlignment="1"/>
    <xf numFmtId="0" fontId="46" fillId="0" borderId="100" xfId="45" applyNumberFormat="1" applyFont="1" applyFill="1" applyBorder="1" applyAlignment="1"/>
    <xf numFmtId="0" fontId="44" fillId="0" borderId="100" xfId="45" applyNumberFormat="1" applyFont="1" applyFill="1" applyBorder="1" applyAlignment="1"/>
    <xf numFmtId="0" fontId="47" fillId="0" borderId="100" xfId="45" applyNumberFormat="1" applyFont="1" applyFill="1" applyBorder="1" applyAlignment="1"/>
    <xf numFmtId="0" fontId="48" fillId="0" borderId="100" xfId="45" applyNumberFormat="1" applyFont="1" applyFill="1" applyBorder="1" applyAlignment="1"/>
    <xf numFmtId="0" fontId="51" fillId="2" borderId="0" xfId="45" applyNumberFormat="1" applyFont="1" applyFill="1" applyAlignment="1"/>
    <xf numFmtId="0" fontId="3" fillId="2" borderId="0" xfId="45" applyNumberFormat="1" applyFont="1" applyFill="1" applyAlignment="1"/>
    <xf numFmtId="0" fontId="50" fillId="2" borderId="0" xfId="45" applyNumberFormat="1" applyFont="1" applyFill="1" applyAlignment="1"/>
    <xf numFmtId="0" fontId="46" fillId="2" borderId="0" xfId="45" applyNumberFormat="1" applyFont="1" applyFill="1" applyAlignment="1"/>
    <xf numFmtId="0" fontId="49" fillId="2" borderId="0" xfId="45" applyNumberFormat="1" applyFont="1" applyFill="1" applyAlignment="1"/>
    <xf numFmtId="0" fontId="48" fillId="2" borderId="0" xfId="45" applyNumberFormat="1" applyFont="1" applyFill="1" applyAlignment="1"/>
    <xf numFmtId="0" fontId="1" fillId="2" borderId="0" xfId="46" applyNumberFormat="1" applyFont="1" applyFill="1" applyAlignment="1"/>
    <xf numFmtId="0" fontId="3" fillId="2" borderId="0" xfId="46" applyNumberFormat="1" applyFont="1" applyFill="1" applyAlignment="1"/>
    <xf numFmtId="0" fontId="1" fillId="0" borderId="0" xfId="46" applyNumberFormat="1" applyFont="1" applyAlignment="1"/>
    <xf numFmtId="0" fontId="1" fillId="2" borderId="0" xfId="46" applyNumberFormat="1" applyFont="1" applyFill="1" applyBorder="1" applyAlignment="1"/>
    <xf numFmtId="0" fontId="1" fillId="0" borderId="0" xfId="46" applyNumberFormat="1" applyFont="1" applyBorder="1" applyAlignment="1"/>
    <xf numFmtId="0" fontId="37" fillId="0" borderId="0" xfId="49" applyNumberFormat="1" applyFont="1" applyFill="1" applyAlignment="1">
      <alignment horizontal="right"/>
    </xf>
    <xf numFmtId="0" fontId="2" fillId="2" borderId="0" xfId="45" applyNumberFormat="1" applyFont="1" applyFill="1" applyAlignment="1">
      <alignment horizontal="right"/>
    </xf>
    <xf numFmtId="0" fontId="3" fillId="15" borderId="0" xfId="45" applyNumberFormat="1" applyFont="1" applyFill="1" applyAlignment="1"/>
    <xf numFmtId="0" fontId="3" fillId="0" borderId="0" xfId="45" applyNumberFormat="1" applyFont="1" applyFill="1" applyAlignment="1"/>
    <xf numFmtId="0" fontId="3" fillId="0" borderId="0" xfId="46" applyNumberFormat="1" applyFont="1" applyAlignment="1"/>
    <xf numFmtId="0" fontId="1" fillId="0" borderId="0" xfId="46" applyNumberFormat="1" applyFont="1" applyFill="1" applyAlignment="1"/>
    <xf numFmtId="0" fontId="36" fillId="3" borderId="0" xfId="45" applyNumberFormat="1" applyFont="1" applyFill="1" applyAlignment="1">
      <alignment horizontal="center"/>
    </xf>
    <xf numFmtId="0" fontId="0" fillId="10" borderId="0" xfId="45" applyNumberFormat="1" applyFont="1" applyFill="1" applyAlignment="1"/>
    <xf numFmtId="0" fontId="1" fillId="10" borderId="0" xfId="45" applyNumberFormat="1" applyFont="1" applyFill="1" applyAlignment="1"/>
    <xf numFmtId="0" fontId="1" fillId="16" borderId="0" xfId="45" applyNumberFormat="1" applyFont="1" applyFill="1" applyAlignment="1"/>
    <xf numFmtId="0" fontId="46" fillId="0" borderId="100" xfId="45" applyNumberFormat="1" applyFont="1" applyBorder="1" applyAlignment="1">
      <alignment vertical="top" wrapText="1"/>
    </xf>
    <xf numFmtId="0" fontId="1" fillId="0" borderId="100" xfId="45" applyNumberFormat="1" applyFont="1" applyFill="1" applyBorder="1" applyAlignment="1">
      <alignment wrapText="1"/>
    </xf>
    <xf numFmtId="0" fontId="1" fillId="15" borderId="100" xfId="45" applyNumberFormat="1" applyFont="1" applyFill="1" applyBorder="1" applyAlignment="1">
      <alignment wrapText="1"/>
    </xf>
    <xf numFmtId="0" fontId="1" fillId="17" borderId="100" xfId="45" applyNumberFormat="1" applyFont="1" applyFill="1" applyBorder="1" applyAlignment="1">
      <alignment wrapText="1"/>
    </xf>
    <xf numFmtId="0" fontId="1" fillId="8" borderId="100" xfId="51" applyNumberFormat="1" applyFont="1" applyFill="1" applyBorder="1" applyAlignment="1" applyProtection="1">
      <alignment horizontal="center" vertical="top" textRotation="90"/>
    </xf>
    <xf numFmtId="0" fontId="1" fillId="8" borderId="121" xfId="51" applyNumberFormat="1" applyFont="1" applyFill="1" applyBorder="1" applyAlignment="1" applyProtection="1">
      <alignment horizontal="center" vertical="top" textRotation="90"/>
    </xf>
    <xf numFmtId="0" fontId="1" fillId="8" borderId="100" xfId="51" applyNumberFormat="1" applyFont="1" applyFill="1" applyBorder="1" applyAlignment="1" applyProtection="1">
      <alignment textRotation="90"/>
    </xf>
    <xf numFmtId="0" fontId="1" fillId="8" borderId="101" xfId="51" applyNumberFormat="1" applyFont="1" applyFill="1" applyBorder="1" applyAlignment="1" applyProtection="1">
      <alignment textRotation="90"/>
    </xf>
    <xf numFmtId="0" fontId="55" fillId="8" borderId="101" xfId="51" applyNumberFormat="1" applyFont="1" applyFill="1" applyBorder="1" applyAlignment="1" applyProtection="1"/>
    <xf numFmtId="0" fontId="49" fillId="8" borderId="106" xfId="51" applyNumberFormat="1" applyFont="1" applyFill="1" applyBorder="1" applyAlignment="1" applyProtection="1">
      <alignment horizontal="center" vertical="top" textRotation="90" wrapText="1"/>
    </xf>
    <xf numFmtId="0" fontId="3" fillId="2" borderId="103" xfId="45" applyNumberFormat="1" applyFont="1" applyFill="1" applyBorder="1" applyAlignment="1"/>
    <xf numFmtId="0" fontId="0" fillId="0" borderId="100" xfId="45" applyNumberFormat="1" applyFont="1" applyBorder="1" applyAlignment="1">
      <alignment horizontal="center"/>
    </xf>
    <xf numFmtId="0" fontId="3" fillId="0" borderId="100" xfId="45" applyNumberFormat="1" applyFont="1" applyFill="1" applyBorder="1" applyAlignment="1">
      <alignment horizontal="center"/>
    </xf>
    <xf numFmtId="0" fontId="3" fillId="2" borderId="100" xfId="45" applyNumberFormat="1" applyFont="1" applyFill="1" applyBorder="1" applyAlignment="1">
      <alignment horizontal="right"/>
    </xf>
    <xf numFmtId="0" fontId="40" fillId="0" borderId="100" xfId="52" applyNumberFormat="1" applyFont="1" applyFill="1" applyBorder="1" applyAlignment="1">
      <alignment horizontal="center"/>
    </xf>
    <xf numFmtId="0" fontId="41" fillId="0" borderId="100" xfId="52" applyNumberFormat="1" applyFont="1" applyFill="1" applyBorder="1" applyAlignment="1"/>
    <xf numFmtId="0" fontId="1" fillId="15" borderId="100" xfId="45" applyNumberFormat="1" applyFont="1" applyFill="1" applyBorder="1" applyAlignment="1">
      <alignment horizontal="center"/>
    </xf>
    <xf numFmtId="0" fontId="1" fillId="0" borderId="100" xfId="45" applyNumberFormat="1" applyFont="1" applyFill="1" applyBorder="1" applyAlignment="1">
      <alignment horizontal="center"/>
    </xf>
    <xf numFmtId="0" fontId="1" fillId="17" borderId="100" xfId="45" applyNumberFormat="1" applyFont="1" applyFill="1" applyBorder="1" applyAlignment="1">
      <alignment horizontal="center"/>
    </xf>
    <xf numFmtId="0" fontId="42" fillId="8" borderId="100" xfId="46" applyNumberFormat="1" applyFont="1" applyFill="1" applyBorder="1" applyAlignment="1">
      <alignment horizontal="center"/>
    </xf>
    <xf numFmtId="0" fontId="42" fillId="8" borderId="121" xfId="46" applyNumberFormat="1" applyFont="1" applyFill="1" applyBorder="1" applyAlignment="1">
      <alignment horizontal="center"/>
    </xf>
    <xf numFmtId="0" fontId="7" fillId="8" borderId="100" xfId="48" applyNumberFormat="1" applyFont="1" applyFill="1" applyBorder="1" applyAlignment="1">
      <alignment horizontal="center"/>
    </xf>
    <xf numFmtId="0" fontId="1" fillId="8" borderId="107" xfId="48" applyNumberFormat="1" applyFont="1" applyFill="1" applyBorder="1" applyAlignment="1">
      <alignment horizontal="center"/>
    </xf>
    <xf numFmtId="0" fontId="1" fillId="8" borderId="108" xfId="51" applyNumberFormat="1" applyFont="1" applyFill="1" applyBorder="1" applyAlignment="1">
      <alignment horizontal="center"/>
    </xf>
    <xf numFmtId="0" fontId="56" fillId="8" borderId="106" xfId="46" applyNumberFormat="1" applyFont="1" applyFill="1" applyBorder="1" applyAlignment="1">
      <alignment horizontal="center"/>
    </xf>
    <xf numFmtId="0" fontId="7" fillId="0" borderId="0" xfId="48" applyNumberFormat="1" applyFill="1" applyAlignment="1">
      <alignment horizontal="right"/>
    </xf>
    <xf numFmtId="0" fontId="3" fillId="2" borderId="100" xfId="45" applyNumberFormat="1" applyFont="1" applyFill="1" applyBorder="1" applyAlignment="1">
      <alignment horizontal="center"/>
    </xf>
    <xf numFmtId="0" fontId="3" fillId="0" borderId="100" xfId="45" applyNumberFormat="1" applyFont="1" applyBorder="1" applyAlignment="1">
      <alignment horizontal="center"/>
    </xf>
    <xf numFmtId="0" fontId="49" fillId="0" borderId="100" xfId="52" applyNumberFormat="1" applyFont="1" applyFill="1" applyBorder="1" applyAlignment="1">
      <alignment horizontal="center"/>
    </xf>
    <xf numFmtId="0" fontId="46" fillId="0" borderId="100" xfId="52" applyNumberFormat="1" applyFont="1" applyFill="1" applyBorder="1" applyAlignment="1">
      <alignment horizontal="center"/>
    </xf>
    <xf numFmtId="0" fontId="48" fillId="8" borderId="100" xfId="52" applyNumberFormat="1" applyFont="1" applyFill="1" applyBorder="1" applyAlignment="1">
      <alignment horizontal="center"/>
    </xf>
    <xf numFmtId="0" fontId="50" fillId="0" borderId="100" xfId="45" applyNumberFormat="1" applyFont="1" applyFill="1" applyBorder="1" applyAlignment="1">
      <alignment horizontal="center"/>
    </xf>
    <xf numFmtId="0" fontId="51" fillId="0" borderId="100" xfId="45" applyNumberFormat="1" applyFont="1" applyFill="1" applyBorder="1" applyAlignment="1">
      <alignment horizontal="center"/>
    </xf>
    <xf numFmtId="0" fontId="44" fillId="0" borderId="100" xfId="45" applyNumberFormat="1" applyFont="1" applyFill="1" applyBorder="1" applyAlignment="1">
      <alignment horizontal="center"/>
    </xf>
    <xf numFmtId="0" fontId="44" fillId="0" borderId="100" xfId="49" applyNumberFormat="1" applyFont="1" applyFill="1" applyBorder="1" applyAlignment="1">
      <alignment horizontal="center"/>
    </xf>
    <xf numFmtId="0" fontId="7" fillId="8" borderId="100" xfId="48" applyNumberFormat="1" applyFill="1" applyBorder="1" applyAlignment="1">
      <alignment horizontal="center"/>
    </xf>
    <xf numFmtId="0" fontId="7" fillId="8" borderId="121" xfId="48" applyNumberFormat="1" applyFill="1" applyBorder="1" applyAlignment="1">
      <alignment horizontal="center"/>
    </xf>
    <xf numFmtId="0" fontId="57" fillId="8" borderId="100" xfId="46" applyNumberFormat="1" applyFont="1" applyFill="1" applyBorder="1" applyAlignment="1">
      <alignment horizontal="center"/>
    </xf>
    <xf numFmtId="0" fontId="1" fillId="8" borderId="109" xfId="46" applyNumberFormat="1" applyFont="1" applyFill="1" applyBorder="1" applyAlignment="1">
      <alignment horizontal="center"/>
    </xf>
    <xf numFmtId="0" fontId="3" fillId="8" borderId="110" xfId="46" applyNumberFormat="1" applyFont="1" applyFill="1" applyBorder="1" applyAlignment="1">
      <alignment horizontal="center"/>
    </xf>
    <xf numFmtId="0" fontId="7" fillId="8" borderId="106" xfId="48" applyNumberFormat="1" applyFill="1" applyBorder="1" applyAlignment="1">
      <alignment horizontal="center"/>
    </xf>
    <xf numFmtId="0" fontId="44" fillId="0" borderId="100" xfId="45" applyNumberFormat="1" applyFont="1" applyFill="1" applyBorder="1" applyAlignment="1">
      <alignment horizontal="right"/>
    </xf>
    <xf numFmtId="0" fontId="0" fillId="0" borderId="100" xfId="45" applyNumberFormat="1" applyFont="1" applyFill="1" applyBorder="1" applyAlignment="1"/>
    <xf numFmtId="0" fontId="49" fillId="0" borderId="100" xfId="53" applyNumberFormat="1" applyFont="1" applyFill="1" applyBorder="1" applyAlignment="1">
      <alignment horizontal="center"/>
    </xf>
    <xf numFmtId="0" fontId="46" fillId="0" borderId="100" xfId="53" applyNumberFormat="1" applyFont="1" applyFill="1" applyBorder="1" applyAlignment="1">
      <alignment horizontal="center"/>
    </xf>
    <xf numFmtId="0" fontId="1" fillId="8" borderId="100" xfId="53" applyNumberFormat="1" applyFont="1" applyFill="1" applyBorder="1" applyAlignment="1">
      <alignment horizontal="center"/>
    </xf>
    <xf numFmtId="0" fontId="50" fillId="0" borderId="100" xfId="53" applyNumberFormat="1" applyFont="1" applyFill="1" applyBorder="1" applyAlignment="1">
      <alignment horizontal="center"/>
    </xf>
    <xf numFmtId="0" fontId="51" fillId="0" borderId="100" xfId="53" applyNumberFormat="1" applyFont="1" applyFill="1" applyBorder="1" applyAlignment="1">
      <alignment horizontal="center"/>
    </xf>
    <xf numFmtId="0" fontId="44" fillId="0" borderId="100" xfId="53" applyNumberFormat="1" applyFont="1" applyFill="1" applyBorder="1" applyAlignment="1">
      <alignment horizontal="center"/>
    </xf>
    <xf numFmtId="0" fontId="44" fillId="17" borderId="100" xfId="53" applyNumberFormat="1" applyFont="1" applyFill="1" applyBorder="1" applyAlignment="1">
      <alignment horizontal="center"/>
    </xf>
    <xf numFmtId="0" fontId="1" fillId="0" borderId="100" xfId="46" applyNumberFormat="1" applyFont="1" applyFill="1" applyBorder="1" applyAlignment="1">
      <alignment horizontal="center"/>
    </xf>
    <xf numFmtId="0" fontId="53" fillId="0" borderId="100" xfId="45" applyNumberFormat="1" applyFont="1" applyFill="1" applyBorder="1" applyAlignment="1">
      <alignment horizontal="center"/>
    </xf>
    <xf numFmtId="0" fontId="53" fillId="0" borderId="101" xfId="45" applyNumberFormat="1" applyFont="1" applyFill="1" applyBorder="1" applyAlignment="1">
      <alignment horizontal="center"/>
    </xf>
    <xf numFmtId="0" fontId="1" fillId="0" borderId="101" xfId="45" applyNumberFormat="1" applyFont="1" applyFill="1" applyBorder="1" applyAlignment="1">
      <alignment horizontal="center"/>
    </xf>
    <xf numFmtId="0" fontId="49" fillId="0" borderId="106" xfId="45" applyNumberFormat="1" applyFont="1" applyFill="1" applyBorder="1" applyAlignment="1">
      <alignment horizontal="center"/>
    </xf>
    <xf numFmtId="0" fontId="1" fillId="0" borderId="0" xfId="45" applyNumberFormat="1" applyFont="1" applyFill="1" applyBorder="1" applyAlignment="1">
      <alignment horizontal="center"/>
    </xf>
    <xf numFmtId="0" fontId="1" fillId="0" borderId="0" xfId="45" applyNumberFormat="1" applyFont="1" applyFill="1" applyBorder="1" applyAlignment="1"/>
    <xf numFmtId="0" fontId="52" fillId="0" borderId="0" xfId="45" applyNumberFormat="1" applyFont="1" applyFill="1" applyAlignment="1"/>
    <xf numFmtId="0" fontId="53" fillId="0" borderId="0" xfId="45" applyNumberFormat="1" applyFont="1" applyFill="1" applyAlignment="1"/>
    <xf numFmtId="0" fontId="1" fillId="0" borderId="100" xfId="50" applyNumberFormat="1" applyFont="1" applyFill="1" applyBorder="1" applyAlignment="1"/>
    <xf numFmtId="0" fontId="0" fillId="0" borderId="100" xfId="50" applyNumberFormat="1" applyFont="1" applyFill="1" applyBorder="1" applyAlignment="1"/>
    <xf numFmtId="0" fontId="0" fillId="0" borderId="104" xfId="50" applyNumberFormat="1" applyFont="1" applyFill="1" applyBorder="1" applyAlignment="1"/>
    <xf numFmtId="0" fontId="49" fillId="0" borderId="104" xfId="53" applyNumberFormat="1" applyFont="1" applyFill="1" applyBorder="1" applyAlignment="1">
      <alignment horizontal="center"/>
    </xf>
    <xf numFmtId="0" fontId="46" fillId="0" borderId="104" xfId="53" applyNumberFormat="1" applyFont="1" applyFill="1" applyBorder="1" applyAlignment="1">
      <alignment horizontal="center"/>
    </xf>
    <xf numFmtId="0" fontId="1" fillId="8" borderId="104" xfId="53" applyNumberFormat="1" applyFont="1" applyFill="1" applyBorder="1" applyAlignment="1">
      <alignment horizontal="center"/>
    </xf>
    <xf numFmtId="0" fontId="50" fillId="0" borderId="104" xfId="53" applyNumberFormat="1" applyFont="1" applyFill="1" applyBorder="1" applyAlignment="1">
      <alignment horizontal="center"/>
    </xf>
    <xf numFmtId="0" fontId="0" fillId="8" borderId="100" xfId="53" applyNumberFormat="1" applyFont="1" applyFill="1" applyBorder="1" applyAlignment="1">
      <alignment horizontal="center"/>
    </xf>
    <xf numFmtId="0" fontId="1" fillId="0" borderId="105" xfId="45" applyNumberFormat="1" applyFont="1" applyFill="1" applyBorder="1" applyAlignment="1"/>
    <xf numFmtId="0" fontId="49" fillId="0" borderId="105" xfId="53" applyNumberFormat="1" applyFont="1" applyFill="1" applyBorder="1" applyAlignment="1">
      <alignment horizontal="center"/>
    </xf>
    <xf numFmtId="0" fontId="46" fillId="0" borderId="105" xfId="53" applyNumberFormat="1" applyFont="1" applyFill="1" applyBorder="1" applyAlignment="1">
      <alignment horizontal="center"/>
    </xf>
    <xf numFmtId="0" fontId="1" fillId="8" borderId="105" xfId="53" applyNumberFormat="1" applyFont="1" applyFill="1" applyBorder="1" applyAlignment="1">
      <alignment horizontal="center"/>
    </xf>
    <xf numFmtId="0" fontId="50" fillId="0" borderId="105" xfId="53" applyNumberFormat="1" applyFont="1" applyFill="1" applyBorder="1" applyAlignment="1">
      <alignment horizontal="center"/>
    </xf>
    <xf numFmtId="0" fontId="1" fillId="0" borderId="100" xfId="45" applyNumberFormat="1" applyFont="1" applyFill="1" applyBorder="1" applyAlignment="1"/>
    <xf numFmtId="0" fontId="1" fillId="0" borderId="121" xfId="45" applyNumberFormat="1" applyFont="1" applyFill="1" applyBorder="1" applyAlignment="1"/>
    <xf numFmtId="0" fontId="49" fillId="0" borderId="121" xfId="53" applyNumberFormat="1" applyFont="1" applyFill="1" applyBorder="1" applyAlignment="1">
      <alignment horizontal="center"/>
    </xf>
    <xf numFmtId="0" fontId="46" fillId="0" borderId="121" xfId="53" applyNumberFormat="1" applyFont="1" applyFill="1" applyBorder="1" applyAlignment="1">
      <alignment horizontal="center"/>
    </xf>
    <xf numFmtId="0" fontId="1" fillId="8" borderId="121" xfId="53" applyNumberFormat="1" applyFont="1" applyFill="1" applyBorder="1" applyAlignment="1">
      <alignment horizontal="center"/>
    </xf>
    <xf numFmtId="0" fontId="50" fillId="0" borderId="121" xfId="53" applyNumberFormat="1" applyFont="1" applyFill="1" applyBorder="1" applyAlignment="1">
      <alignment horizontal="center"/>
    </xf>
    <xf numFmtId="0" fontId="51" fillId="0" borderId="121" xfId="53" applyNumberFormat="1" applyFont="1" applyFill="1" applyBorder="1" applyAlignment="1">
      <alignment horizontal="center"/>
    </xf>
    <xf numFmtId="0" fontId="0" fillId="0" borderId="121" xfId="45" applyNumberFormat="1" applyFont="1" applyFill="1" applyBorder="1" applyAlignment="1"/>
    <xf numFmtId="0" fontId="0" fillId="8" borderId="121" xfId="53" applyNumberFormat="1" applyFont="1" applyFill="1" applyBorder="1" applyAlignment="1">
      <alignment horizontal="center"/>
    </xf>
    <xf numFmtId="0" fontId="38" fillId="0" borderId="100" xfId="50" applyNumberFormat="1" applyFont="1" applyFill="1" applyBorder="1" applyAlignment="1"/>
    <xf numFmtId="0" fontId="0" fillId="0" borderId="100" xfId="50" applyNumberFormat="1" applyFont="1" applyBorder="1"/>
    <xf numFmtId="0" fontId="1" fillId="0" borderId="100" xfId="50" applyNumberFormat="1" applyFont="1" applyBorder="1"/>
    <xf numFmtId="0" fontId="1" fillId="2" borderId="0" xfId="45" applyNumberFormat="1" applyFont="1" applyFill="1" applyAlignment="1">
      <alignment horizontal="right"/>
    </xf>
    <xf numFmtId="0" fontId="37" fillId="2" borderId="0" xfId="45" applyNumberFormat="1" applyFont="1" applyFill="1" applyAlignment="1"/>
    <xf numFmtId="0" fontId="39" fillId="2" borderId="0" xfId="45" applyNumberFormat="1" applyFont="1" applyFill="1" applyAlignment="1"/>
    <xf numFmtId="0" fontId="58" fillId="2" borderId="0" xfId="45" applyNumberFormat="1" applyFont="1" applyFill="1" applyAlignment="1"/>
    <xf numFmtId="0" fontId="59" fillId="2" borderId="0" xfId="45" applyNumberFormat="1" applyFont="1" applyFill="1" applyAlignment="1"/>
    <xf numFmtId="0" fontId="40" fillId="2" borderId="0" xfId="45" applyNumberFormat="1" applyFont="1" applyFill="1" applyAlignment="1"/>
    <xf numFmtId="0" fontId="3" fillId="2" borderId="0" xfId="45" applyNumberFormat="1" applyFont="1" applyFill="1" applyAlignment="1">
      <alignment horizontal="center"/>
    </xf>
    <xf numFmtId="0" fontId="1" fillId="2" borderId="0" xfId="45" applyNumberFormat="1" applyFont="1" applyFill="1" applyBorder="1" applyAlignment="1">
      <alignment horizontal="center"/>
    </xf>
    <xf numFmtId="0" fontId="37" fillId="2" borderId="111" xfId="45" applyNumberFormat="1" applyFont="1" applyFill="1" applyBorder="1" applyAlignment="1">
      <alignment horizontal="center"/>
    </xf>
    <xf numFmtId="0" fontId="37" fillId="2" borderId="0" xfId="45" applyNumberFormat="1" applyFont="1" applyFill="1" applyBorder="1" applyAlignment="1">
      <alignment horizontal="center"/>
    </xf>
    <xf numFmtId="0" fontId="3" fillId="0" borderId="0" xfId="45" applyNumberFormat="1" applyFont="1" applyFill="1" applyAlignment="1">
      <alignment horizontal="center"/>
    </xf>
    <xf numFmtId="0" fontId="7" fillId="19" borderId="93" xfId="2" applyNumberFormat="1" applyFont="1" applyFill="1" applyBorder="1" applyAlignment="1"/>
    <xf numFmtId="0" fontId="5" fillId="19" borderId="120" xfId="1" applyNumberFormat="1" applyFont="1" applyFill="1" applyBorder="1" applyAlignment="1"/>
    <xf numFmtId="0" fontId="5" fillId="19" borderId="120" xfId="0" applyNumberFormat="1" applyFont="1" applyFill="1" applyBorder="1" applyAlignment="1"/>
    <xf numFmtId="0" fontId="5" fillId="19" borderId="93" xfId="2" applyNumberFormat="1" applyFont="1" applyFill="1" applyBorder="1" applyAlignment="1"/>
    <xf numFmtId="0" fontId="5" fillId="19" borderId="93" xfId="0" applyNumberFormat="1" applyFont="1" applyFill="1" applyBorder="1" applyAlignment="1"/>
    <xf numFmtId="0" fontId="8" fillId="19" borderId="93" xfId="2" applyNumberFormat="1" applyFont="1" applyFill="1" applyBorder="1" applyAlignment="1"/>
    <xf numFmtId="0" fontId="5" fillId="19" borderId="93" xfId="1" applyNumberFormat="1" applyFont="1" applyFill="1" applyBorder="1" applyAlignment="1"/>
    <xf numFmtId="0" fontId="5" fillId="19" borderId="93" xfId="1" applyNumberFormat="1" applyFont="1" applyFill="1" applyBorder="1" applyAlignment="1">
      <alignment horizontal="center"/>
    </xf>
    <xf numFmtId="0" fontId="5" fillId="19" borderId="93" xfId="2" applyNumberFormat="1" applyFont="1" applyFill="1" applyBorder="1" applyAlignment="1">
      <alignment horizontal="center"/>
    </xf>
    <xf numFmtId="0" fontId="3" fillId="0" borderId="128" xfId="47" applyNumberFormat="1" applyFont="1" applyBorder="1" applyAlignment="1">
      <alignment horizontal="center"/>
    </xf>
    <xf numFmtId="0" fontId="3" fillId="0" borderId="127" xfId="47" applyNumberFormat="1" applyFont="1" applyFill="1" applyBorder="1" applyAlignment="1">
      <alignment horizontal="center" vertical="center"/>
    </xf>
    <xf numFmtId="0" fontId="1" fillId="0" borderId="35" xfId="45" applyNumberFormat="1" applyFont="1" applyFill="1" applyBorder="1" applyAlignment="1">
      <alignment textRotation="90"/>
    </xf>
    <xf numFmtId="0" fontId="0" fillId="0" borderId="0" xfId="45" applyNumberFormat="1" applyFont="1" applyFill="1" applyBorder="1" applyAlignment="1">
      <alignment textRotation="90"/>
    </xf>
    <xf numFmtId="0" fontId="1" fillId="0" borderId="0" xfId="45" applyNumberFormat="1" applyFont="1" applyFill="1" applyBorder="1" applyAlignment="1">
      <alignment textRotation="90"/>
    </xf>
    <xf numFmtId="0" fontId="1" fillId="0" borderId="0" xfId="45" applyNumberFormat="1" applyFont="1" applyFill="1" applyAlignment="1">
      <alignment textRotation="90"/>
    </xf>
    <xf numFmtId="0" fontId="5" fillId="8" borderId="96" xfId="1" applyNumberFormat="1" applyFont="1" applyFill="1" applyBorder="1" applyAlignment="1"/>
    <xf numFmtId="0" fontId="5" fillId="8" borderId="96" xfId="0" applyNumberFormat="1" applyFont="1" applyFill="1" applyBorder="1" applyAlignment="1"/>
    <xf numFmtId="0" fontId="5" fillId="8" borderId="92" xfId="0" applyNumberFormat="1" applyFont="1" applyFill="1" applyBorder="1" applyAlignment="1"/>
    <xf numFmtId="0" fontId="5" fillId="8" borderId="93" xfId="1" applyNumberFormat="1" applyFont="1" applyFill="1" applyBorder="1" applyAlignment="1"/>
    <xf numFmtId="0" fontId="5" fillId="8" borderId="93" xfId="0" applyNumberFormat="1" applyFont="1" applyFill="1" applyBorder="1" applyAlignment="1"/>
    <xf numFmtId="0" fontId="5" fillId="8" borderId="92" xfId="1" applyNumberFormat="1" applyFont="1" applyFill="1" applyBorder="1" applyAlignment="1"/>
    <xf numFmtId="0" fontId="5" fillId="4" borderId="92" xfId="0" quotePrefix="1" applyNumberFormat="1" applyFont="1" applyFill="1" applyBorder="1" applyAlignment="1"/>
    <xf numFmtId="0" fontId="5" fillId="19" borderId="93" xfId="0" quotePrefix="1" applyNumberFormat="1" applyFont="1" applyFill="1" applyBorder="1" applyAlignment="1"/>
    <xf numFmtId="0" fontId="8" fillId="0" borderId="93" xfId="2" applyNumberFormat="1" applyFont="1" applyFill="1" applyBorder="1" applyAlignment="1"/>
    <xf numFmtId="0" fontId="5" fillId="8" borderId="120" xfId="1" applyNumberFormat="1" applyFont="1" applyFill="1" applyBorder="1" applyAlignment="1"/>
    <xf numFmtId="0" fontId="5" fillId="8" borderId="120" xfId="0" applyNumberFormat="1" applyFont="1" applyFill="1" applyBorder="1" applyAlignment="1"/>
    <xf numFmtId="0" fontId="5" fillId="13" borderId="120" xfId="1" applyNumberFormat="1" applyFont="1" applyFill="1" applyBorder="1" applyAlignment="1"/>
    <xf numFmtId="0" fontId="5" fillId="13" borderId="120" xfId="0" applyNumberFormat="1" applyFont="1" applyFill="1" applyBorder="1" applyAlignment="1"/>
    <xf numFmtId="0" fontId="5" fillId="13" borderId="93" xfId="0" applyNumberFormat="1" applyFont="1" applyFill="1" applyBorder="1" applyAlignment="1"/>
    <xf numFmtId="0" fontId="5" fillId="8" borderId="98" xfId="1" applyNumberFormat="1" applyFont="1" applyFill="1" applyBorder="1" applyAlignment="1"/>
    <xf numFmtId="0" fontId="5" fillId="8" borderId="98" xfId="0" applyNumberFormat="1" applyFont="1" applyFill="1" applyBorder="1" applyAlignment="1"/>
    <xf numFmtId="0" fontId="5" fillId="7" borderId="93" xfId="0" applyNumberFormat="1" applyFont="1" applyFill="1" applyBorder="1" applyAlignment="1"/>
    <xf numFmtId="0" fontId="8" fillId="8" borderId="92" xfId="2" applyNumberFormat="1" applyFont="1" applyFill="1" applyBorder="1" applyAlignment="1"/>
    <xf numFmtId="0" fontId="5" fillId="8" borderId="92" xfId="1" applyNumberFormat="1" applyFont="1" applyFill="1" applyBorder="1" applyAlignment="1">
      <alignment horizontal="center"/>
    </xf>
    <xf numFmtId="0" fontId="8" fillId="8" borderId="93" xfId="2" applyNumberFormat="1" applyFont="1" applyFill="1" applyBorder="1" applyAlignment="1"/>
    <xf numFmtId="0" fontId="5" fillId="8" borderId="93" xfId="1" applyNumberFormat="1" applyFont="1" applyFill="1" applyBorder="1" applyAlignment="1">
      <alignment horizontal="center"/>
    </xf>
    <xf numFmtId="0" fontId="8" fillId="13" borderId="93" xfId="2" applyNumberFormat="1" applyFont="1" applyFill="1" applyBorder="1" applyAlignment="1"/>
    <xf numFmtId="0" fontId="5" fillId="13" borderId="93" xfId="1" applyNumberFormat="1" applyFont="1" applyFill="1" applyBorder="1" applyAlignment="1"/>
    <xf numFmtId="0" fontId="5" fillId="13" borderId="93" xfId="1" applyNumberFormat="1" applyFont="1" applyFill="1" applyBorder="1" applyAlignment="1">
      <alignment horizontal="center"/>
    </xf>
    <xf numFmtId="0" fontId="8" fillId="0" borderId="8" xfId="2" applyNumberFormat="1" applyFont="1" applyFill="1" applyBorder="1" applyAlignment="1"/>
    <xf numFmtId="0" fontId="5" fillId="0" borderId="15" xfId="2" applyNumberFormat="1" applyFont="1" applyBorder="1"/>
    <xf numFmtId="0" fontId="8" fillId="0" borderId="4" xfId="2" applyNumberFormat="1" applyFont="1" applyFill="1" applyBorder="1" applyAlignment="1"/>
    <xf numFmtId="0" fontId="5" fillId="0" borderId="9" xfId="0" applyNumberFormat="1" applyFont="1" applyFill="1" applyBorder="1" applyAlignment="1"/>
    <xf numFmtId="0" fontId="8" fillId="0" borderId="72" xfId="2" applyNumberFormat="1" applyFont="1" applyBorder="1" applyAlignment="1"/>
    <xf numFmtId="0" fontId="11" fillId="0" borderId="0" xfId="2" applyNumberFormat="1" applyFont="1" applyBorder="1" applyAlignment="1"/>
    <xf numFmtId="0" fontId="11" fillId="0" borderId="27" xfId="2" applyNumberFormat="1" applyFont="1" applyBorder="1" applyAlignment="1"/>
    <xf numFmtId="0" fontId="8" fillId="8" borderId="4" xfId="2" applyNumberFormat="1" applyFont="1" applyFill="1" applyBorder="1" applyAlignment="1"/>
    <xf numFmtId="0" fontId="5" fillId="8" borderId="9" xfId="0" applyNumberFormat="1" applyFont="1" applyFill="1" applyBorder="1" applyAlignment="1"/>
    <xf numFmtId="0" fontId="8" fillId="8" borderId="23" xfId="2" applyNumberFormat="1" applyFont="1" applyFill="1" applyBorder="1" applyAlignment="1"/>
    <xf numFmtId="0" fontId="5" fillId="0" borderId="31" xfId="4" applyNumberFormat="1" applyFont="1" applyFill="1" applyBorder="1" applyAlignment="1"/>
    <xf numFmtId="0" fontId="5" fillId="0" borderId="11" xfId="4" applyNumberFormat="1" applyFont="1" applyFill="1" applyBorder="1" applyAlignment="1"/>
    <xf numFmtId="0" fontId="8" fillId="4" borderId="13" xfId="2" applyNumberFormat="1" applyFont="1" applyFill="1" applyBorder="1" applyAlignment="1"/>
    <xf numFmtId="0" fontId="11" fillId="0" borderId="49" xfId="2" applyNumberFormat="1" applyFont="1" applyFill="1" applyBorder="1" applyAlignment="1"/>
    <xf numFmtId="0" fontId="6" fillId="0" borderId="9" xfId="1" applyNumberFormat="1" applyFont="1" applyFill="1" applyBorder="1" applyAlignment="1"/>
    <xf numFmtId="0" fontId="6" fillId="0" borderId="25" xfId="1" applyNumberFormat="1" applyFont="1" applyFill="1" applyBorder="1" applyAlignment="1">
      <alignment vertical="top"/>
    </xf>
    <xf numFmtId="0" fontId="8" fillId="0" borderId="39" xfId="2" applyNumberFormat="1" applyFont="1" applyFill="1" applyBorder="1" applyAlignment="1"/>
    <xf numFmtId="0" fontId="8" fillId="0" borderId="25" xfId="2" applyNumberFormat="1" applyFont="1" applyBorder="1" applyAlignment="1"/>
    <xf numFmtId="0" fontId="11" fillId="0" borderId="4" xfId="2" applyNumberFormat="1" applyFont="1" applyFill="1" applyBorder="1" applyAlignment="1"/>
    <xf numFmtId="0" fontId="8" fillId="4" borderId="31" xfId="2" applyNumberFormat="1" applyFont="1" applyFill="1" applyBorder="1" applyAlignment="1"/>
    <xf numFmtId="0" fontId="20" fillId="0" borderId="37" xfId="2" applyNumberFormat="1" applyFont="1" applyBorder="1" applyAlignment="1"/>
    <xf numFmtId="0" fontId="8" fillId="7" borderId="49" xfId="2" applyNumberFormat="1" applyFont="1" applyFill="1" applyBorder="1" applyAlignment="1"/>
    <xf numFmtId="0" fontId="62" fillId="0" borderId="33" xfId="2" applyNumberFormat="1" applyFont="1" applyFill="1" applyBorder="1" applyAlignment="1"/>
    <xf numFmtId="0" fontId="63" fillId="0" borderId="35" xfId="2" applyNumberFormat="1" applyFont="1" applyFill="1" applyBorder="1" applyAlignment="1"/>
    <xf numFmtId="0" fontId="65" fillId="0" borderId="11" xfId="1" applyNumberFormat="1" applyFont="1" applyFill="1" applyBorder="1" applyAlignment="1"/>
    <xf numFmtId="0" fontId="63" fillId="0" borderId="25" xfId="1" applyNumberFormat="1" applyFont="1" applyFill="1" applyBorder="1" applyAlignment="1"/>
    <xf numFmtId="0" fontId="65" fillId="0" borderId="11" xfId="7" applyNumberFormat="1" applyFont="1" applyFill="1" applyBorder="1" applyAlignment="1"/>
    <xf numFmtId="0" fontId="63" fillId="0" borderId="25" xfId="0" applyNumberFormat="1" applyFont="1" applyBorder="1"/>
    <xf numFmtId="0" fontId="62" fillId="0" borderId="31" xfId="2" applyNumberFormat="1" applyFont="1" applyFill="1" applyBorder="1" applyAlignment="1"/>
    <xf numFmtId="0" fontId="63" fillId="0" borderId="11" xfId="1" applyNumberFormat="1" applyFont="1" applyFill="1" applyBorder="1" applyAlignment="1"/>
    <xf numFmtId="0" fontId="62" fillId="0" borderId="25" xfId="2" applyNumberFormat="1" applyFont="1" applyFill="1" applyBorder="1" applyAlignment="1"/>
    <xf numFmtId="0" fontId="63" fillId="0" borderId="75" xfId="1" applyNumberFormat="1" applyFont="1" applyFill="1" applyBorder="1" applyAlignment="1">
      <alignment horizontal="right"/>
    </xf>
    <xf numFmtId="0" fontId="63" fillId="0" borderId="119" xfId="0" applyNumberFormat="1" applyFont="1" applyBorder="1"/>
    <xf numFmtId="0" fontId="63" fillId="0" borderId="73" xfId="1" applyNumberFormat="1" applyFont="1" applyFill="1" applyBorder="1" applyAlignment="1"/>
    <xf numFmtId="0" fontId="63" fillId="0" borderId="76" xfId="0" applyNumberFormat="1" applyFont="1" applyBorder="1" applyAlignment="1">
      <alignment horizontal="center"/>
    </xf>
    <xf numFmtId="0" fontId="63" fillId="0" borderId="74" xfId="1" applyNumberFormat="1" applyFont="1" applyFill="1" applyBorder="1" applyAlignment="1"/>
    <xf numFmtId="0" fontId="63" fillId="0" borderId="76" xfId="0" applyNumberFormat="1" applyFont="1" applyBorder="1"/>
    <xf numFmtId="0" fontId="63" fillId="0" borderId="79" xfId="1" applyNumberFormat="1" applyFont="1" applyFill="1" applyBorder="1" applyAlignment="1">
      <alignment horizontal="right"/>
    </xf>
    <xf numFmtId="0" fontId="62" fillId="0" borderId="6" xfId="2" applyNumberFormat="1" applyFont="1" applyFill="1" applyBorder="1" applyAlignment="1"/>
    <xf numFmtId="0" fontId="63" fillId="0" borderId="0" xfId="0" applyNumberFormat="1" applyFont="1"/>
    <xf numFmtId="0" fontId="63" fillId="0" borderId="85" xfId="0" applyNumberFormat="1" applyFont="1" applyBorder="1"/>
    <xf numFmtId="0" fontId="64" fillId="0" borderId="31" xfId="2" applyNumberFormat="1" applyFont="1" applyFill="1" applyBorder="1" applyAlignment="1"/>
    <xf numFmtId="0" fontId="63" fillId="0" borderId="11" xfId="4" applyNumberFormat="1" applyFont="1" applyFill="1" applyBorder="1" applyAlignment="1"/>
    <xf numFmtId="0" fontId="62" fillId="0" borderId="89" xfId="2" applyNumberFormat="1" applyFont="1" applyFill="1" applyBorder="1" applyAlignment="1">
      <alignment horizontal="center" vertical="top"/>
    </xf>
    <xf numFmtId="0" fontId="63" fillId="0" borderId="76" xfId="1" applyNumberFormat="1" applyFont="1" applyFill="1" applyBorder="1" applyAlignment="1">
      <alignment horizontal="center"/>
    </xf>
    <xf numFmtId="0" fontId="63" fillId="0" borderId="90" xfId="1" applyNumberFormat="1" applyFont="1" applyFill="1" applyBorder="1" applyAlignment="1"/>
    <xf numFmtId="0" fontId="63" fillId="0" borderId="76" xfId="2" applyNumberFormat="1" applyFont="1" applyFill="1" applyBorder="1" applyAlignment="1"/>
    <xf numFmtId="0" fontId="11" fillId="0" borderId="31" xfId="2" applyNumberFormat="1" applyFont="1" applyFill="1" applyBorder="1" applyAlignment="1"/>
    <xf numFmtId="0" fontId="11" fillId="0" borderId="11" xfId="2" applyNumberFormat="1" applyFont="1" applyFill="1" applyBorder="1" applyAlignment="1"/>
    <xf numFmtId="0" fontId="8" fillId="0" borderId="9" xfId="2" applyNumberFormat="1" applyFont="1" applyFill="1" applyBorder="1" applyAlignment="1">
      <alignment vertical="top"/>
    </xf>
    <xf numFmtId="0" fontId="5" fillId="0" borderId="11" xfId="6" applyNumberFormat="1" applyFont="1" applyFill="1" applyBorder="1" applyAlignment="1">
      <alignment vertical="top"/>
    </xf>
    <xf numFmtId="0" fontId="8" fillId="0" borderId="25" xfId="2" applyNumberFormat="1" applyFont="1" applyFill="1" applyBorder="1" applyAlignment="1"/>
    <xf numFmtId="0" fontId="5" fillId="0" borderId="0" xfId="2" applyNumberFormat="1" applyFont="1" applyBorder="1" applyAlignment="1"/>
    <xf numFmtId="0" fontId="8" fillId="0" borderId="43" xfId="2" applyNumberFormat="1" applyFont="1" applyFill="1" applyBorder="1" applyAlignment="1">
      <alignment vertical="top"/>
    </xf>
    <xf numFmtId="0" fontId="5" fillId="0" borderId="44" xfId="7" applyNumberFormat="1" applyFont="1" applyFill="1" applyBorder="1" applyAlignment="1"/>
    <xf numFmtId="0" fontId="8" fillId="0" borderId="45" xfId="2" applyNumberFormat="1" applyFont="1" applyFill="1" applyBorder="1" applyAlignment="1"/>
    <xf numFmtId="0" fontId="6" fillId="0" borderId="25" xfId="2" applyNumberFormat="1" applyFont="1" applyBorder="1" applyAlignment="1"/>
    <xf numFmtId="0" fontId="5" fillId="0" borderId="11" xfId="7" applyNumberFormat="1" applyFont="1" applyFill="1" applyBorder="1" applyAlignment="1"/>
    <xf numFmtId="0" fontId="5" fillId="0" borderId="25" xfId="4" applyNumberFormat="1" applyFont="1" applyFill="1" applyBorder="1" applyAlignment="1"/>
    <xf numFmtId="0" fontId="8" fillId="0" borderId="9" xfId="2" applyNumberFormat="1" applyFont="1" applyFill="1" applyBorder="1" applyAlignment="1"/>
    <xf numFmtId="0" fontId="8" fillId="0" borderId="25" xfId="9" applyNumberFormat="1" applyFont="1" applyFill="1" applyBorder="1" applyAlignment="1"/>
    <xf numFmtId="0" fontId="8" fillId="0" borderId="59" xfId="2" applyNumberFormat="1" applyFont="1" applyFill="1" applyBorder="1" applyAlignment="1">
      <alignment vertical="top"/>
    </xf>
    <xf numFmtId="0" fontId="5" fillId="0" borderId="23" xfId="2" applyNumberFormat="1" applyFont="1" applyFill="1" applyBorder="1" applyAlignment="1"/>
    <xf numFmtId="0" fontId="11" fillId="0" borderId="25" xfId="2" applyNumberFormat="1" applyFont="1" applyBorder="1" applyAlignment="1"/>
    <xf numFmtId="0" fontId="11" fillId="0" borderId="25" xfId="9" applyNumberFormat="1" applyFont="1" applyFill="1" applyBorder="1" applyAlignment="1"/>
    <xf numFmtId="0" fontId="11" fillId="0" borderId="9" xfId="2" applyNumberFormat="1" applyFont="1" applyFill="1" applyBorder="1" applyAlignment="1"/>
    <xf numFmtId="0" fontId="8" fillId="8" borderId="9" xfId="2" applyNumberFormat="1" applyFont="1" applyFill="1" applyBorder="1" applyAlignment="1"/>
    <xf numFmtId="0" fontId="8" fillId="0" borderId="0" xfId="2" applyNumberFormat="1" applyFont="1" applyFill="1" applyBorder="1" applyAlignment="1">
      <alignment vertical="top"/>
    </xf>
    <xf numFmtId="0" fontId="63" fillId="0" borderId="82" xfId="1" applyNumberFormat="1" applyFont="1" applyFill="1" applyBorder="1" applyAlignment="1"/>
    <xf numFmtId="0" fontId="8" fillId="7" borderId="29" xfId="2" applyNumberFormat="1" applyFont="1" applyFill="1" applyBorder="1" applyAlignment="1"/>
    <xf numFmtId="0" fontId="8" fillId="7" borderId="116" xfId="2" applyNumberFormat="1" applyFont="1" applyFill="1" applyBorder="1" applyAlignment="1"/>
    <xf numFmtId="0" fontId="62" fillId="0" borderId="11" xfId="2" applyNumberFormat="1" applyFont="1" applyFill="1" applyBorder="1" applyAlignment="1"/>
    <xf numFmtId="0" fontId="62" fillId="0" borderId="57" xfId="2" applyNumberFormat="1" applyFont="1" applyFill="1" applyBorder="1" applyAlignment="1"/>
    <xf numFmtId="0" fontId="8" fillId="13" borderId="31" xfId="2" applyNumberFormat="1" applyFont="1" applyFill="1" applyBorder="1" applyAlignment="1">
      <alignment vertical="top"/>
    </xf>
    <xf numFmtId="0" fontId="5" fillId="13" borderId="11" xfId="2" applyNumberFormat="1" applyFont="1" applyFill="1" applyBorder="1" applyAlignment="1"/>
    <xf numFmtId="0" fontId="8" fillId="13" borderId="11" xfId="2" applyNumberFormat="1" applyFont="1" applyFill="1" applyBorder="1" applyAlignment="1"/>
  </cellXfs>
  <cellStyles count="58">
    <cellStyle name="Hyperlink" xfId="2" builtinId="8"/>
    <cellStyle name="Hyperlink 2" xfId="8"/>
    <cellStyle name="Hyperlink 2 2" xfId="11"/>
    <cellStyle name="Hyperlink 2 2 2" xfId="51"/>
    <cellStyle name="Hyperlink 3" xfId="12"/>
    <cellStyle name="Hyperlink 3 2" xfId="13"/>
    <cellStyle name="Hyperlink 4" xfId="9"/>
    <cellStyle name="Hyperlink 5" xfId="48"/>
    <cellStyle name="Normal" xfId="0" builtinId="0"/>
    <cellStyle name="Normal 10" xfId="14"/>
    <cellStyle name="Normal 11" xfId="15"/>
    <cellStyle name="Normal 12" xfId="47"/>
    <cellStyle name="Normal 13" xfId="56"/>
    <cellStyle name="Normal 14" xfId="57"/>
    <cellStyle name="Normal 2" xfId="1"/>
    <cellStyle name="Normal 2 2" xfId="16"/>
    <cellStyle name="Normal 2 2 2" xfId="17"/>
    <cellStyle name="Normal 2 2 2 2" xfId="18"/>
    <cellStyle name="Normal 2 2 2 2 2" xfId="19"/>
    <cellStyle name="Normal 2 2 2 2 3" xfId="45"/>
    <cellStyle name="Normal 2 2 3" xfId="20"/>
    <cellStyle name="Normal 2 2 4" xfId="21"/>
    <cellStyle name="Normal 2 3" xfId="10"/>
    <cellStyle name="Normal 2 3 2" xfId="22"/>
    <cellStyle name="Normal 2 3 2 2" xfId="49"/>
    <cellStyle name="Normal 2 4" xfId="23"/>
    <cellStyle name="Normal 2 4 2" xfId="4"/>
    <cellStyle name="Normal 2 5" xfId="5"/>
    <cellStyle name="Normal 2 5 2" xfId="24"/>
    <cellStyle name="Normal 2 5 2 2" xfId="25"/>
    <cellStyle name="Normal 2 5 3" xfId="50"/>
    <cellStyle name="Normal 2 6" xfId="7"/>
    <cellStyle name="Normal 2 7" xfId="54"/>
    <cellStyle name="Normal 3" xfId="26"/>
    <cellStyle name="Normal 3 2" xfId="27"/>
    <cellStyle name="Normal 3 2 2" xfId="28"/>
    <cellStyle name="Normal 3 2 3" xfId="53"/>
    <cellStyle name="Normal 3 3" xfId="29"/>
    <cellStyle name="Normal 3 3 2" xfId="52"/>
    <cellStyle name="Normal 3 4" xfId="30"/>
    <cellStyle name="Normal 4" xfId="3"/>
    <cellStyle name="Normal 4 2" xfId="31"/>
    <cellStyle name="Normal 4 3" xfId="32"/>
    <cellStyle name="Normal 5" xfId="6"/>
    <cellStyle name="Normal 5 2" xfId="33"/>
    <cellStyle name="Normal 5 3" xfId="34"/>
    <cellStyle name="Normal 5 3 2" xfId="35"/>
    <cellStyle name="Normal 5 4" xfId="55"/>
    <cellStyle name="Normal 6" xfId="36"/>
    <cellStyle name="Normal 6 2" xfId="37"/>
    <cellStyle name="Normal 6 2 2" xfId="38"/>
    <cellStyle name="Normal 6 2 2 2" xfId="46"/>
    <cellStyle name="Normal 6 3" xfId="39"/>
    <cellStyle name="Normal 6 4" xfId="40"/>
    <cellStyle name="Normal 7" xfId="41"/>
    <cellStyle name="Normal 8" xfId="42"/>
    <cellStyle name="Normal 9" xfId="43"/>
    <cellStyle name="WinCalendar_BlankCells_35" xfId="44"/>
  </cellStyles>
  <dxfs count="65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B050"/>
      </font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ont>
        <strike/>
        <color rgb="FF00B0F0"/>
      </font>
    </dxf>
    <dxf>
      <font>
        <color theme="0"/>
      </font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CC"/>
        </patternFill>
      </fill>
    </dxf>
    <dxf>
      <font>
        <color rgb="FFCC0000"/>
      </font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color theme="4" tint="-0.24994659260841701"/>
      </font>
    </dxf>
    <dxf>
      <font>
        <color theme="0"/>
      </font>
    </dxf>
    <dxf>
      <font>
        <b/>
        <i val="0"/>
      </font>
    </dxf>
    <dxf>
      <font>
        <color theme="4" tint="-0.24994659260841701"/>
      </font>
    </dxf>
    <dxf>
      <font>
        <b/>
        <i val="0"/>
      </font>
    </dxf>
    <dxf>
      <font>
        <b/>
        <i val="0"/>
      </font>
    </dxf>
    <dxf>
      <font>
        <color theme="4" tint="-0.24994659260841701"/>
      </font>
    </dxf>
    <dxf>
      <font>
        <b/>
        <i val="0"/>
      </font>
    </dxf>
    <dxf>
      <font>
        <b/>
        <i val="0"/>
      </font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99CCFF"/>
      <color rgb="FFCCFFCC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gif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6" Type="http://schemas.openxmlformats.org/officeDocument/2006/relationships/image" Target="../media/image7.jpe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260250</xdr:colOff>
      <xdr:row>1</xdr:row>
      <xdr:rowOff>160348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241200" cy="303223"/>
        </a:xfrm>
        <a:prstGeom prst="rect">
          <a:avLst/>
        </a:prstGeom>
      </xdr:spPr>
    </xdr:pic>
    <xdr:clientData/>
  </xdr:twoCellAnchor>
  <xdr:twoCellAnchor editAs="oneCell">
    <xdr:from>
      <xdr:col>2</xdr:col>
      <xdr:colOff>1304925</xdr:colOff>
      <xdr:row>11</xdr:row>
      <xdr:rowOff>149405</xdr:rowOff>
    </xdr:from>
    <xdr:to>
      <xdr:col>2</xdr:col>
      <xdr:colOff>1461478</xdr:colOff>
      <xdr:row>13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1482905"/>
          <a:ext cx="156553" cy="174445"/>
        </a:xfrm>
        <a:prstGeom prst="rect">
          <a:avLst/>
        </a:prstGeom>
      </xdr:spPr>
    </xdr:pic>
    <xdr:clientData/>
  </xdr:twoCellAnchor>
  <xdr:oneCellAnchor>
    <xdr:from>
      <xdr:col>2</xdr:col>
      <xdr:colOff>1295400</xdr:colOff>
      <xdr:row>34</xdr:row>
      <xdr:rowOff>139880</xdr:rowOff>
    </xdr:from>
    <xdr:ext cx="156553" cy="174445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5075" y="1311455"/>
          <a:ext cx="156553" cy="174445"/>
        </a:xfrm>
        <a:prstGeom prst="rect">
          <a:avLst/>
        </a:prstGeom>
      </xdr:spPr>
    </xdr:pic>
    <xdr:clientData/>
  </xdr:oneCellAnchor>
  <xdr:oneCellAnchor>
    <xdr:from>
      <xdr:col>2</xdr:col>
      <xdr:colOff>1485900</xdr:colOff>
      <xdr:row>35</xdr:row>
      <xdr:rowOff>149405</xdr:rowOff>
    </xdr:from>
    <xdr:ext cx="156553" cy="174445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5" y="3483155"/>
          <a:ext cx="156553" cy="17444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0</xdr:col>
      <xdr:colOff>252307</xdr:colOff>
      <xdr:row>1</xdr:row>
      <xdr:rowOff>159526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1"/>
          <a:ext cx="233257" cy="302400"/>
        </a:xfrm>
        <a:prstGeom prst="rect">
          <a:avLst/>
        </a:prstGeom>
      </xdr:spPr>
    </xdr:pic>
    <xdr:clientData/>
  </xdr:twoCellAnchor>
  <xdr:oneCellAnchor>
    <xdr:from>
      <xdr:col>10</xdr:col>
      <xdr:colOff>1123950</xdr:colOff>
      <xdr:row>24</xdr:row>
      <xdr:rowOff>47625</xdr:rowOff>
    </xdr:from>
    <xdr:ext cx="255968" cy="171451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4038600"/>
          <a:ext cx="255968" cy="171451"/>
        </a:xfrm>
        <a:prstGeom prst="rect">
          <a:avLst/>
        </a:prstGeom>
      </xdr:spPr>
    </xdr:pic>
    <xdr:clientData/>
  </xdr:oneCellAnchor>
  <xdr:twoCellAnchor editAs="oneCell">
    <xdr:from>
      <xdr:col>10</xdr:col>
      <xdr:colOff>981076</xdr:colOff>
      <xdr:row>4</xdr:row>
      <xdr:rowOff>19050</xdr:rowOff>
    </xdr:from>
    <xdr:to>
      <xdr:col>10</xdr:col>
      <xdr:colOff>1344892</xdr:colOff>
      <xdr:row>6</xdr:row>
      <xdr:rowOff>66675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6" y="695325"/>
          <a:ext cx="363816" cy="371475"/>
        </a:xfrm>
        <a:prstGeom prst="rect">
          <a:avLst/>
        </a:prstGeom>
      </xdr:spPr>
    </xdr:pic>
    <xdr:clientData/>
  </xdr:twoCellAnchor>
  <xdr:oneCellAnchor>
    <xdr:from>
      <xdr:col>10</xdr:col>
      <xdr:colOff>1123951</xdr:colOff>
      <xdr:row>57</xdr:row>
      <xdr:rowOff>38100</xdr:rowOff>
    </xdr:from>
    <xdr:ext cx="227796" cy="323850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1" y="9486900"/>
          <a:ext cx="227796" cy="323850"/>
        </a:xfrm>
        <a:prstGeom prst="rect">
          <a:avLst/>
        </a:prstGeom>
      </xdr:spPr>
    </xdr:pic>
    <xdr:clientData/>
  </xdr:oneCellAnchor>
  <xdr:oneCellAnchor>
    <xdr:from>
      <xdr:col>12</xdr:col>
      <xdr:colOff>1114426</xdr:colOff>
      <xdr:row>57</xdr:row>
      <xdr:rowOff>28575</xdr:rowOff>
    </xdr:from>
    <xdr:ext cx="227796" cy="3238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1726" y="9477375"/>
          <a:ext cx="227796" cy="323850"/>
        </a:xfrm>
        <a:prstGeom prst="rect">
          <a:avLst/>
        </a:prstGeom>
      </xdr:spPr>
    </xdr:pic>
    <xdr:clientData/>
  </xdr:oneCellAnchor>
  <xdr:twoCellAnchor editAs="oneCell">
    <xdr:from>
      <xdr:col>10</xdr:col>
      <xdr:colOff>1190626</xdr:colOff>
      <xdr:row>35</xdr:row>
      <xdr:rowOff>47626</xdr:rowOff>
    </xdr:from>
    <xdr:to>
      <xdr:col>10</xdr:col>
      <xdr:colOff>1368363</xdr:colOff>
      <xdr:row>36</xdr:row>
      <xdr:rowOff>116101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6" y="5867401"/>
          <a:ext cx="177737" cy="230400"/>
        </a:xfrm>
        <a:prstGeom prst="rect">
          <a:avLst/>
        </a:prstGeom>
      </xdr:spPr>
    </xdr:pic>
    <xdr:clientData/>
  </xdr:twoCellAnchor>
  <xdr:twoCellAnchor editAs="oneCell">
    <xdr:from>
      <xdr:col>12</xdr:col>
      <xdr:colOff>1095375</xdr:colOff>
      <xdr:row>54</xdr:row>
      <xdr:rowOff>152400</xdr:rowOff>
    </xdr:from>
    <xdr:to>
      <xdr:col>12</xdr:col>
      <xdr:colOff>1352415</xdr:colOff>
      <xdr:row>56</xdr:row>
      <xdr:rowOff>130950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9105900"/>
          <a:ext cx="257040" cy="302400"/>
        </a:xfrm>
        <a:prstGeom prst="rect">
          <a:avLst/>
        </a:prstGeom>
      </xdr:spPr>
    </xdr:pic>
    <xdr:clientData/>
  </xdr:twoCellAnchor>
  <xdr:oneCellAnchor>
    <xdr:from>
      <xdr:col>12</xdr:col>
      <xdr:colOff>1095375</xdr:colOff>
      <xdr:row>7</xdr:row>
      <xdr:rowOff>47625</xdr:rowOff>
    </xdr:from>
    <xdr:ext cx="286803" cy="191202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1219200"/>
          <a:ext cx="286803" cy="191202"/>
        </a:xfrm>
        <a:prstGeom prst="rect">
          <a:avLst/>
        </a:prstGeom>
      </xdr:spPr>
    </xdr:pic>
    <xdr:clientData/>
  </xdr:oneCellAnchor>
  <xdr:oneCellAnchor>
    <xdr:from>
      <xdr:col>10</xdr:col>
      <xdr:colOff>1190625</xdr:colOff>
      <xdr:row>14</xdr:row>
      <xdr:rowOff>0</xdr:rowOff>
    </xdr:from>
    <xdr:ext cx="184663" cy="301292"/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2324100"/>
          <a:ext cx="184663" cy="301292"/>
        </a:xfrm>
        <a:prstGeom prst="rect">
          <a:avLst/>
        </a:prstGeom>
      </xdr:spPr>
    </xdr:pic>
    <xdr:clientData/>
  </xdr:oneCellAnchor>
  <xdr:oneCellAnchor>
    <xdr:from>
      <xdr:col>12</xdr:col>
      <xdr:colOff>1123950</xdr:colOff>
      <xdr:row>18</xdr:row>
      <xdr:rowOff>47625</xdr:rowOff>
    </xdr:from>
    <xdr:ext cx="255968" cy="171451"/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0" y="3038475"/>
          <a:ext cx="255968" cy="171451"/>
        </a:xfrm>
        <a:prstGeom prst="rect">
          <a:avLst/>
        </a:prstGeom>
      </xdr:spPr>
    </xdr:pic>
    <xdr:clientData/>
  </xdr:oneCellAnchor>
  <xdr:oneCellAnchor>
    <xdr:from>
      <xdr:col>10</xdr:col>
      <xdr:colOff>1133475</xdr:colOff>
      <xdr:row>18</xdr:row>
      <xdr:rowOff>38100</xdr:rowOff>
    </xdr:from>
    <xdr:ext cx="255968" cy="171451"/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5" y="3028950"/>
          <a:ext cx="255968" cy="171451"/>
        </a:xfrm>
        <a:prstGeom prst="rect">
          <a:avLst/>
        </a:prstGeom>
      </xdr:spPr>
    </xdr:pic>
    <xdr:clientData/>
  </xdr:oneCellAnchor>
  <xdr:oneCellAnchor>
    <xdr:from>
      <xdr:col>10</xdr:col>
      <xdr:colOff>1133475</xdr:colOff>
      <xdr:row>8</xdr:row>
      <xdr:rowOff>19050</xdr:rowOff>
    </xdr:from>
    <xdr:ext cx="206129" cy="255600"/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5" y="1352550"/>
          <a:ext cx="206129" cy="255600"/>
        </a:xfrm>
        <a:prstGeom prst="rect">
          <a:avLst/>
        </a:prstGeom>
      </xdr:spPr>
    </xdr:pic>
    <xdr:clientData/>
  </xdr:oneCellAnchor>
  <xdr:oneCellAnchor>
    <xdr:from>
      <xdr:col>12</xdr:col>
      <xdr:colOff>1190626</xdr:colOff>
      <xdr:row>35</xdr:row>
      <xdr:rowOff>47626</xdr:rowOff>
    </xdr:from>
    <xdr:ext cx="177737" cy="230400"/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6" y="5867401"/>
          <a:ext cx="177737" cy="230400"/>
        </a:xfrm>
        <a:prstGeom prst="rect">
          <a:avLst/>
        </a:prstGeom>
      </xdr:spPr>
    </xdr:pic>
    <xdr:clientData/>
  </xdr:oneCellAnchor>
  <xdr:oneCellAnchor>
    <xdr:from>
      <xdr:col>10</xdr:col>
      <xdr:colOff>1152525</xdr:colOff>
      <xdr:row>38</xdr:row>
      <xdr:rowOff>38100</xdr:rowOff>
    </xdr:from>
    <xdr:ext cx="206129" cy="255600"/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6353175"/>
          <a:ext cx="206129" cy="255600"/>
        </a:xfrm>
        <a:prstGeom prst="rect">
          <a:avLst/>
        </a:prstGeom>
      </xdr:spPr>
    </xdr:pic>
    <xdr:clientData/>
  </xdr:oneCellAnchor>
  <xdr:oneCellAnchor>
    <xdr:from>
      <xdr:col>12</xdr:col>
      <xdr:colOff>1162050</xdr:colOff>
      <xdr:row>38</xdr:row>
      <xdr:rowOff>28575</xdr:rowOff>
    </xdr:from>
    <xdr:ext cx="206129" cy="255600"/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350" y="6343650"/>
          <a:ext cx="206129" cy="255600"/>
        </a:xfrm>
        <a:prstGeom prst="rect">
          <a:avLst/>
        </a:prstGeom>
      </xdr:spPr>
    </xdr:pic>
    <xdr:clientData/>
  </xdr:oneCellAnchor>
  <xdr:oneCellAnchor>
    <xdr:from>
      <xdr:col>10</xdr:col>
      <xdr:colOff>1114425</xdr:colOff>
      <xdr:row>41</xdr:row>
      <xdr:rowOff>47625</xdr:rowOff>
    </xdr:from>
    <xdr:ext cx="255968" cy="171451"/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475" y="6858000"/>
          <a:ext cx="255968" cy="171451"/>
        </a:xfrm>
        <a:prstGeom prst="rect">
          <a:avLst/>
        </a:prstGeom>
      </xdr:spPr>
    </xdr:pic>
    <xdr:clientData/>
  </xdr:oneCellAnchor>
  <xdr:oneCellAnchor>
    <xdr:from>
      <xdr:col>12</xdr:col>
      <xdr:colOff>1123950</xdr:colOff>
      <xdr:row>41</xdr:row>
      <xdr:rowOff>38100</xdr:rowOff>
    </xdr:from>
    <xdr:ext cx="255968" cy="171451"/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0" y="6848475"/>
          <a:ext cx="255968" cy="171451"/>
        </a:xfrm>
        <a:prstGeom prst="rect">
          <a:avLst/>
        </a:prstGeom>
      </xdr:spPr>
    </xdr:pic>
    <xdr:clientData/>
  </xdr:oneCellAnchor>
  <xdr:oneCellAnchor>
    <xdr:from>
      <xdr:col>10</xdr:col>
      <xdr:colOff>1171575</xdr:colOff>
      <xdr:row>45</xdr:row>
      <xdr:rowOff>9525</xdr:rowOff>
    </xdr:from>
    <xdr:ext cx="184663" cy="301292"/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7477125"/>
          <a:ext cx="184663" cy="301292"/>
        </a:xfrm>
        <a:prstGeom prst="rect">
          <a:avLst/>
        </a:prstGeom>
      </xdr:spPr>
    </xdr:pic>
    <xdr:clientData/>
  </xdr:oneCellAnchor>
  <xdr:oneCellAnchor>
    <xdr:from>
      <xdr:col>10</xdr:col>
      <xdr:colOff>1114425</xdr:colOff>
      <xdr:row>51</xdr:row>
      <xdr:rowOff>47625</xdr:rowOff>
    </xdr:from>
    <xdr:ext cx="255968" cy="171451"/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475" y="8505825"/>
          <a:ext cx="255968" cy="171451"/>
        </a:xfrm>
        <a:prstGeom prst="rect">
          <a:avLst/>
        </a:prstGeom>
      </xdr:spPr>
    </xdr:pic>
    <xdr:clientData/>
  </xdr:oneCellAnchor>
  <xdr:oneCellAnchor>
    <xdr:from>
      <xdr:col>10</xdr:col>
      <xdr:colOff>1123950</xdr:colOff>
      <xdr:row>54</xdr:row>
      <xdr:rowOff>47625</xdr:rowOff>
    </xdr:from>
    <xdr:ext cx="255968" cy="171451"/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9001125"/>
          <a:ext cx="255968" cy="171451"/>
        </a:xfrm>
        <a:prstGeom prst="rect">
          <a:avLst/>
        </a:prstGeom>
      </xdr:spPr>
    </xdr:pic>
    <xdr:clientData/>
  </xdr:oneCellAnchor>
  <xdr:oneCellAnchor>
    <xdr:from>
      <xdr:col>8</xdr:col>
      <xdr:colOff>1038226</xdr:colOff>
      <xdr:row>57</xdr:row>
      <xdr:rowOff>28575</xdr:rowOff>
    </xdr:from>
    <xdr:ext cx="227796" cy="323850"/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1" y="9486900"/>
          <a:ext cx="227796" cy="323850"/>
        </a:xfrm>
        <a:prstGeom prst="rect">
          <a:avLst/>
        </a:prstGeom>
      </xdr:spPr>
    </xdr:pic>
    <xdr:clientData/>
  </xdr:oneCellAnchor>
  <xdr:twoCellAnchor editAs="oneCell">
    <xdr:from>
      <xdr:col>10</xdr:col>
      <xdr:colOff>1143000</xdr:colOff>
      <xdr:row>60</xdr:row>
      <xdr:rowOff>38100</xdr:rowOff>
    </xdr:from>
    <xdr:to>
      <xdr:col>10</xdr:col>
      <xdr:colOff>1319000</xdr:colOff>
      <xdr:row>62</xdr:row>
      <xdr:rowOff>2250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" y="9982200"/>
          <a:ext cx="176000" cy="288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1162050</xdr:colOff>
      <xdr:row>60</xdr:row>
      <xdr:rowOff>38100</xdr:rowOff>
    </xdr:from>
    <xdr:to>
      <xdr:col>12</xdr:col>
      <xdr:colOff>1338050</xdr:colOff>
      <xdr:row>62</xdr:row>
      <xdr:rowOff>2250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350" y="9982200"/>
          <a:ext cx="176000" cy="288000"/>
        </a:xfrm>
        <a:prstGeom prst="rect">
          <a:avLst/>
        </a:prstGeom>
      </xdr:spPr>
    </xdr:pic>
    <xdr:clientData/>
  </xdr:twoCellAnchor>
  <xdr:oneCellAnchor>
    <xdr:from>
      <xdr:col>10</xdr:col>
      <xdr:colOff>962024</xdr:colOff>
      <xdr:row>98</xdr:row>
      <xdr:rowOff>14002</xdr:rowOff>
    </xdr:from>
    <xdr:ext cx="342901" cy="234462"/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074" y="16063627"/>
          <a:ext cx="342901" cy="234462"/>
        </a:xfrm>
        <a:prstGeom prst="rect">
          <a:avLst/>
        </a:prstGeom>
      </xdr:spPr>
    </xdr:pic>
    <xdr:clientData/>
  </xdr:oneCellAnchor>
  <xdr:oneCellAnchor>
    <xdr:from>
      <xdr:col>10</xdr:col>
      <xdr:colOff>1133475</xdr:colOff>
      <xdr:row>11</xdr:row>
      <xdr:rowOff>19050</xdr:rowOff>
    </xdr:from>
    <xdr:ext cx="206129" cy="255600"/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5" y="1847850"/>
          <a:ext cx="206129" cy="255600"/>
        </a:xfrm>
        <a:prstGeom prst="rect">
          <a:avLst/>
        </a:prstGeom>
      </xdr:spPr>
    </xdr:pic>
    <xdr:clientData/>
  </xdr:oneCellAnchor>
  <xdr:oneCellAnchor>
    <xdr:from>
      <xdr:col>12</xdr:col>
      <xdr:colOff>1133475</xdr:colOff>
      <xdr:row>11</xdr:row>
      <xdr:rowOff>28575</xdr:rowOff>
    </xdr:from>
    <xdr:ext cx="206129" cy="255600"/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5" y="1857375"/>
          <a:ext cx="206129" cy="255600"/>
        </a:xfrm>
        <a:prstGeom prst="rect">
          <a:avLst/>
        </a:prstGeom>
      </xdr:spPr>
    </xdr:pic>
    <xdr:clientData/>
  </xdr:oneCellAnchor>
  <xdr:oneCellAnchor>
    <xdr:from>
      <xdr:col>10</xdr:col>
      <xdr:colOff>1133475</xdr:colOff>
      <xdr:row>32</xdr:row>
      <xdr:rowOff>66675</xdr:rowOff>
    </xdr:from>
    <xdr:ext cx="244929" cy="247650"/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5" y="5381625"/>
          <a:ext cx="244929" cy="247650"/>
        </a:xfrm>
        <a:prstGeom prst="rect">
          <a:avLst/>
        </a:prstGeom>
      </xdr:spPr>
    </xdr:pic>
    <xdr:clientData/>
  </xdr:oneCellAnchor>
  <xdr:oneCellAnchor>
    <xdr:from>
      <xdr:col>12</xdr:col>
      <xdr:colOff>1123950</xdr:colOff>
      <xdr:row>32</xdr:row>
      <xdr:rowOff>47625</xdr:rowOff>
    </xdr:from>
    <xdr:ext cx="255968" cy="171451"/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0" y="5362575"/>
          <a:ext cx="255968" cy="171451"/>
        </a:xfrm>
        <a:prstGeom prst="rect">
          <a:avLst/>
        </a:prstGeom>
      </xdr:spPr>
    </xdr:pic>
    <xdr:clientData/>
  </xdr:oneCellAnchor>
  <xdr:twoCellAnchor editAs="oneCell">
    <xdr:from>
      <xdr:col>6</xdr:col>
      <xdr:colOff>32808</xdr:colOff>
      <xdr:row>76</xdr:row>
      <xdr:rowOff>9525</xdr:rowOff>
    </xdr:from>
    <xdr:to>
      <xdr:col>6</xdr:col>
      <xdr:colOff>742949</xdr:colOff>
      <xdr:row>77</xdr:row>
      <xdr:rowOff>167163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0183" y="12592050"/>
          <a:ext cx="710141" cy="31956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73</xdr:row>
      <xdr:rowOff>152400</xdr:rowOff>
    </xdr:from>
    <xdr:to>
      <xdr:col>2</xdr:col>
      <xdr:colOff>262466</xdr:colOff>
      <xdr:row>75</xdr:row>
      <xdr:rowOff>148113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2249150"/>
          <a:ext cx="710141" cy="31956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81</xdr:row>
      <xdr:rowOff>19049</xdr:rowOff>
    </xdr:from>
    <xdr:to>
      <xdr:col>1</xdr:col>
      <xdr:colOff>112350</xdr:colOff>
      <xdr:row>82</xdr:row>
      <xdr:rowOff>29924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3420724"/>
          <a:ext cx="360000" cy="172800"/>
        </a:xfrm>
        <a:prstGeom prst="rect">
          <a:avLst/>
        </a:prstGeom>
      </xdr:spPr>
    </xdr:pic>
    <xdr:clientData/>
  </xdr:twoCellAnchor>
  <xdr:twoCellAnchor editAs="oneCell">
    <xdr:from>
      <xdr:col>12</xdr:col>
      <xdr:colOff>142875</xdr:colOff>
      <xdr:row>76</xdr:row>
      <xdr:rowOff>9525</xdr:rowOff>
    </xdr:from>
    <xdr:to>
      <xdr:col>12</xdr:col>
      <xdr:colOff>502875</xdr:colOff>
      <xdr:row>77</xdr:row>
      <xdr:rowOff>20400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12592050"/>
          <a:ext cx="360000" cy="1728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81</xdr:row>
      <xdr:rowOff>19050</xdr:rowOff>
    </xdr:from>
    <xdr:to>
      <xdr:col>6</xdr:col>
      <xdr:colOff>379050</xdr:colOff>
      <xdr:row>82</xdr:row>
      <xdr:rowOff>29925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3420725"/>
          <a:ext cx="360000" cy="1728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92</xdr:row>
      <xdr:rowOff>19050</xdr:rowOff>
    </xdr:from>
    <xdr:to>
      <xdr:col>3</xdr:col>
      <xdr:colOff>112350</xdr:colOff>
      <xdr:row>93</xdr:row>
      <xdr:rowOff>29925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4744700"/>
          <a:ext cx="360000" cy="172800"/>
        </a:xfrm>
        <a:prstGeom prst="rect">
          <a:avLst/>
        </a:prstGeom>
      </xdr:spPr>
    </xdr:pic>
    <xdr:clientData/>
  </xdr:twoCellAnchor>
  <xdr:oneCellAnchor>
    <xdr:from>
      <xdr:col>6</xdr:col>
      <xdr:colOff>19050</xdr:colOff>
      <xdr:row>103</xdr:row>
      <xdr:rowOff>19050</xdr:rowOff>
    </xdr:from>
    <xdr:ext cx="360000" cy="172800"/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7059275"/>
          <a:ext cx="360000" cy="172800"/>
        </a:xfrm>
        <a:prstGeom prst="rect">
          <a:avLst/>
        </a:prstGeom>
      </xdr:spPr>
    </xdr:pic>
    <xdr:clientData/>
  </xdr:oneCellAnchor>
  <xdr:twoCellAnchor editAs="oneCell">
    <xdr:from>
      <xdr:col>6</xdr:col>
      <xdr:colOff>38100</xdr:colOff>
      <xdr:row>107</xdr:row>
      <xdr:rowOff>9525</xdr:rowOff>
    </xdr:from>
    <xdr:to>
      <xdr:col>6</xdr:col>
      <xdr:colOff>748241</xdr:colOff>
      <xdr:row>108</xdr:row>
      <xdr:rowOff>167163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17706975"/>
          <a:ext cx="710141" cy="319563"/>
        </a:xfrm>
        <a:prstGeom prst="rect">
          <a:avLst/>
        </a:prstGeom>
      </xdr:spPr>
    </xdr:pic>
    <xdr:clientData/>
  </xdr:twoCellAnchor>
  <xdr:twoCellAnchor editAs="oneCell">
    <xdr:from>
      <xdr:col>12</xdr:col>
      <xdr:colOff>1407194</xdr:colOff>
      <xdr:row>22</xdr:row>
      <xdr:rowOff>15040</xdr:rowOff>
    </xdr:from>
    <xdr:to>
      <xdr:col>13</xdr:col>
      <xdr:colOff>183820</xdr:colOff>
      <xdr:row>23</xdr:row>
      <xdr:rowOff>69115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6394" y="3672640"/>
          <a:ext cx="195851" cy="216000"/>
        </a:xfrm>
        <a:prstGeom prst="rect">
          <a:avLst/>
        </a:prstGeom>
      </xdr:spPr>
    </xdr:pic>
    <xdr:clientData/>
  </xdr:twoCellAnchor>
  <xdr:oneCellAnchor>
    <xdr:from>
      <xdr:col>10</xdr:col>
      <xdr:colOff>1407194</xdr:colOff>
      <xdr:row>74</xdr:row>
      <xdr:rowOff>15040</xdr:rowOff>
    </xdr:from>
    <xdr:ext cx="195851" cy="216000"/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6394" y="3672640"/>
          <a:ext cx="195851" cy="216000"/>
        </a:xfrm>
        <a:prstGeom prst="rect">
          <a:avLst/>
        </a:prstGeom>
      </xdr:spPr>
    </xdr:pic>
    <xdr:clientData/>
  </xdr:oneCellAnchor>
  <xdr:oneCellAnchor>
    <xdr:from>
      <xdr:col>10</xdr:col>
      <xdr:colOff>1407194</xdr:colOff>
      <xdr:row>84</xdr:row>
      <xdr:rowOff>15040</xdr:rowOff>
    </xdr:from>
    <xdr:ext cx="195851" cy="216000"/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669" y="12273715"/>
          <a:ext cx="195851" cy="216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409372</xdr:colOff>
      <xdr:row>2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"/>
          <a:ext cx="399847" cy="447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reiting-202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end"/>
      <sheetName val="Kal E"/>
      <sheetName val="V"/>
      <sheetName val="V1"/>
      <sheetName val="V2"/>
      <sheetName val="V3"/>
      <sheetName val="V4"/>
      <sheetName val="V5"/>
      <sheetName val="V-jh"/>
      <sheetName val="V6"/>
      <sheetName val="V7"/>
      <sheetName val="V8"/>
      <sheetName val="EW"/>
      <sheetName val="V9"/>
      <sheetName val="T-MV-d"/>
      <sheetName val="T-MV-t"/>
      <sheetName val="V10"/>
      <sheetName val="V-lõp"/>
      <sheetName val="I-V-d"/>
      <sheetName val="V9 (2)"/>
      <sheetName val="Juhend"/>
      <sheetName val="ETAPP"/>
      <sheetName val="PIV"/>
      <sheetName val="swiss-v"/>
      <sheetName val="alagr-v"/>
      <sheetName val="alagr-9-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A1">
            <v>0</v>
          </cell>
          <cell r="B1">
            <v>0</v>
          </cell>
        </row>
        <row r="2">
          <cell r="A2">
            <v>1</v>
          </cell>
          <cell r="B2" t="str">
            <v>A</v>
          </cell>
        </row>
        <row r="3">
          <cell r="A3">
            <v>2</v>
          </cell>
          <cell r="B3" t="str">
            <v>B</v>
          </cell>
        </row>
        <row r="4">
          <cell r="A4">
            <v>3</v>
          </cell>
          <cell r="B4" t="str">
            <v>C</v>
          </cell>
        </row>
        <row r="5">
          <cell r="A5">
            <v>4</v>
          </cell>
          <cell r="B5" t="str">
            <v>D</v>
          </cell>
        </row>
        <row r="6">
          <cell r="A6">
            <v>5</v>
          </cell>
          <cell r="B6" t="str">
            <v>E</v>
          </cell>
        </row>
        <row r="7">
          <cell r="A7">
            <v>6</v>
          </cell>
          <cell r="B7" t="str">
            <v>F</v>
          </cell>
        </row>
        <row r="8">
          <cell r="A8">
            <v>7</v>
          </cell>
          <cell r="B8" t="str">
            <v>G</v>
          </cell>
        </row>
        <row r="9">
          <cell r="A9">
            <v>8</v>
          </cell>
          <cell r="B9" t="str">
            <v>C</v>
          </cell>
        </row>
        <row r="10">
          <cell r="A10">
            <v>9</v>
          </cell>
          <cell r="B10" t="str">
            <v>D</v>
          </cell>
        </row>
        <row r="11">
          <cell r="A11">
            <v>10</v>
          </cell>
          <cell r="B11" t="str">
            <v>E</v>
          </cell>
        </row>
        <row r="12">
          <cell r="A12">
            <v>11</v>
          </cell>
          <cell r="B12" t="str">
            <v>F</v>
          </cell>
        </row>
        <row r="13">
          <cell r="A13">
            <v>12</v>
          </cell>
          <cell r="B13" t="str">
            <v>G</v>
          </cell>
        </row>
        <row r="14">
          <cell r="A14">
            <v>13</v>
          </cell>
          <cell r="B14" t="str">
            <v>H</v>
          </cell>
        </row>
        <row r="15">
          <cell r="A15">
            <v>14</v>
          </cell>
          <cell r="B15" t="str">
            <v>I</v>
          </cell>
        </row>
        <row r="16">
          <cell r="A16">
            <v>15</v>
          </cell>
          <cell r="B16" t="str">
            <v>J</v>
          </cell>
        </row>
        <row r="17">
          <cell r="A17">
            <v>16</v>
          </cell>
          <cell r="B17" t="str">
            <v>K</v>
          </cell>
        </row>
        <row r="18">
          <cell r="A18">
            <v>17</v>
          </cell>
          <cell r="B18" t="str">
            <v>L</v>
          </cell>
        </row>
        <row r="19">
          <cell r="A19">
            <v>18</v>
          </cell>
          <cell r="B19" t="str">
            <v>M</v>
          </cell>
        </row>
        <row r="20">
          <cell r="A20">
            <v>19</v>
          </cell>
          <cell r="B20" t="str">
            <v>N</v>
          </cell>
        </row>
        <row r="21">
          <cell r="A21">
            <v>20</v>
          </cell>
          <cell r="B21" t="str">
            <v>O</v>
          </cell>
        </row>
        <row r="22">
          <cell r="A22">
            <v>21</v>
          </cell>
          <cell r="B22" t="str">
            <v>P</v>
          </cell>
        </row>
        <row r="23">
          <cell r="A23">
            <v>22</v>
          </cell>
          <cell r="B23" t="str">
            <v>Q</v>
          </cell>
        </row>
        <row r="24">
          <cell r="A24">
            <v>23</v>
          </cell>
          <cell r="B24" t="str">
            <v>R</v>
          </cell>
        </row>
        <row r="25">
          <cell r="A25">
            <v>24</v>
          </cell>
          <cell r="B25" t="str">
            <v>S</v>
          </cell>
        </row>
        <row r="26">
          <cell r="A26">
            <v>25</v>
          </cell>
          <cell r="B26" t="str">
            <v>T</v>
          </cell>
        </row>
        <row r="27">
          <cell r="A27">
            <v>26</v>
          </cell>
          <cell r="B27" t="str">
            <v>U</v>
          </cell>
        </row>
        <row r="28">
          <cell r="A28">
            <v>27</v>
          </cell>
          <cell r="B28" t="str">
            <v>V</v>
          </cell>
        </row>
        <row r="29">
          <cell r="A29">
            <v>28</v>
          </cell>
          <cell r="B29" t="str">
            <v>W</v>
          </cell>
        </row>
        <row r="30">
          <cell r="A30">
            <v>29</v>
          </cell>
          <cell r="B30" t="str">
            <v>X</v>
          </cell>
        </row>
        <row r="31">
          <cell r="A31">
            <v>30</v>
          </cell>
          <cell r="B31" t="str">
            <v>Y</v>
          </cell>
        </row>
        <row r="32">
          <cell r="A32">
            <v>31</v>
          </cell>
          <cell r="B32" t="str">
            <v>Z</v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52"/>
  <sheetViews>
    <sheetView showGridLines="0" showRowColHeaders="0" zoomScaleNormal="100" workbookViewId="0">
      <pane ySplit="3" topLeftCell="A4" activePane="bottomLeft" state="frozen"/>
      <selection pane="bottomLeft" activeCell="I1" sqref="I1"/>
    </sheetView>
  </sheetViews>
  <sheetFormatPr defaultRowHeight="12.75" x14ac:dyDescent="0.2"/>
  <cols>
    <col min="1" max="1" width="12.5703125" style="9" customWidth="1"/>
    <col min="2" max="2" width="5.5703125" style="9" customWidth="1"/>
    <col min="3" max="3" width="26.42578125" style="9" customWidth="1"/>
    <col min="4" max="4" width="8.28515625" style="9" customWidth="1"/>
    <col min="5" max="5" width="6" style="9" customWidth="1"/>
    <col min="6" max="6" width="15.5703125" style="9" customWidth="1"/>
    <col min="7" max="7" width="14.85546875" style="9" customWidth="1"/>
    <col min="8" max="8" width="4.5703125" style="9" customWidth="1"/>
    <col min="9" max="9" width="5" style="9" customWidth="1"/>
    <col min="10" max="16384" width="9.140625" style="9"/>
  </cols>
  <sheetData>
    <row r="1" spans="1:10" x14ac:dyDescent="0.2">
      <c r="A1" s="4"/>
      <c r="B1" s="4"/>
      <c r="C1" s="284" t="s">
        <v>59</v>
      </c>
      <c r="D1" s="4"/>
      <c r="E1" s="4"/>
      <c r="F1" s="5" t="str">
        <f>HYPERLINK("","")</f>
        <v/>
      </c>
      <c r="G1" s="8"/>
      <c r="H1" s="7" t="s">
        <v>458</v>
      </c>
      <c r="I1" s="8"/>
    </row>
    <row r="2" spans="1:10" x14ac:dyDescent="0.2">
      <c r="A2" s="4"/>
      <c r="B2" s="4"/>
      <c r="C2" s="4"/>
      <c r="D2" s="4"/>
      <c r="E2" s="4"/>
      <c r="F2" s="6"/>
      <c r="G2" s="8"/>
      <c r="H2" s="8"/>
      <c r="I2" s="285"/>
    </row>
    <row r="3" spans="1:10" ht="13.5" thickBot="1" x14ac:dyDescent="0.25">
      <c r="A3" s="286" t="s">
        <v>60</v>
      </c>
      <c r="B3" s="286" t="s">
        <v>61</v>
      </c>
      <c r="C3" s="287" t="s">
        <v>62</v>
      </c>
      <c r="D3" s="287" t="s">
        <v>63</v>
      </c>
      <c r="E3" s="287" t="s">
        <v>64</v>
      </c>
      <c r="F3" s="287" t="s">
        <v>65</v>
      </c>
      <c r="G3" s="287" t="s">
        <v>66</v>
      </c>
      <c r="H3" s="287" t="s">
        <v>67</v>
      </c>
      <c r="I3" s="287" t="s">
        <v>68</v>
      </c>
    </row>
    <row r="4" spans="1:10" ht="13.5" thickBot="1" x14ac:dyDescent="0.25">
      <c r="A4" s="288" t="s">
        <v>8</v>
      </c>
      <c r="B4" s="289"/>
      <c r="C4" s="4"/>
      <c r="D4" s="4"/>
      <c r="E4" s="4"/>
      <c r="F4" s="4"/>
      <c r="G4" s="4"/>
      <c r="H4" s="290"/>
      <c r="I4" s="4"/>
    </row>
    <row r="5" spans="1:10" x14ac:dyDescent="0.2">
      <c r="A5" s="623" t="s">
        <v>127</v>
      </c>
      <c r="B5" s="624" t="s">
        <v>72</v>
      </c>
      <c r="C5" s="625" t="s">
        <v>73</v>
      </c>
      <c r="D5" s="625" t="s">
        <v>74</v>
      </c>
      <c r="E5" s="291" t="str">
        <f>HYPERLINK("#V1!A5","V1")</f>
        <v>V1</v>
      </c>
      <c r="F5" s="640" t="str">
        <f>HYPERLINK("https://kaart.delfi.ee/?bookmark=2456dbce930692d81ec761beacb7a00a","Voka staadion")</f>
        <v>Voka staadion</v>
      </c>
      <c r="G5" s="628" t="s">
        <v>75</v>
      </c>
      <c r="H5" s="641">
        <v>3</v>
      </c>
      <c r="I5" s="641">
        <f>V!Z121</f>
        <v>26</v>
      </c>
    </row>
    <row r="6" spans="1:10" ht="13.5" thickBot="1" x14ac:dyDescent="0.25">
      <c r="A6" s="626" t="s">
        <v>128</v>
      </c>
      <c r="B6" s="627" t="s">
        <v>72</v>
      </c>
      <c r="C6" s="627" t="s">
        <v>88</v>
      </c>
      <c r="D6" s="627" t="s">
        <v>74</v>
      </c>
      <c r="E6" s="292" t="str">
        <f>HYPERLINK("#V2!A5","V2")</f>
        <v>V2</v>
      </c>
      <c r="F6" s="642" t="str">
        <f>HYPERLINK("https://kaart.delfi.ee/?bookmark=2456dbce930692d81ec761beacb7a00a","Voka staadion")</f>
        <v>Voka staadion</v>
      </c>
      <c r="G6" s="626" t="s">
        <v>75</v>
      </c>
      <c r="H6" s="643">
        <v>3</v>
      </c>
      <c r="I6" s="643">
        <f>V!AA121</f>
        <v>30</v>
      </c>
    </row>
    <row r="7" spans="1:10" hidden="1" x14ac:dyDescent="0.2">
      <c r="A7" s="293" t="s">
        <v>76</v>
      </c>
      <c r="B7" s="294" t="s">
        <v>69</v>
      </c>
      <c r="C7" s="294" t="s">
        <v>77</v>
      </c>
      <c r="D7" s="294" t="s">
        <v>78</v>
      </c>
      <c r="E7" s="295" t="str">
        <f>HYPERLINK("#M1!A5","M1")</f>
        <v>M1</v>
      </c>
      <c r="F7" s="296" t="str">
        <f>HYPERLINK("https://kaart.delfi.ee/?bookmark=521b80d6ceeefbe3e5d227267242b206","K-Järve spordihoone")</f>
        <v>K-Järve spordihoone</v>
      </c>
      <c r="G7" s="294" t="s">
        <v>71</v>
      </c>
      <c r="H7" s="297">
        <v>5</v>
      </c>
      <c r="I7" s="297"/>
    </row>
    <row r="8" spans="1:10" ht="13.5" hidden="1" thickBot="1" x14ac:dyDescent="0.25">
      <c r="A8" s="298" t="s">
        <v>79</v>
      </c>
      <c r="B8" s="298" t="s">
        <v>69</v>
      </c>
      <c r="C8" s="298" t="s">
        <v>80</v>
      </c>
      <c r="D8" s="298" t="s">
        <v>78</v>
      </c>
      <c r="E8" s="299" t="str">
        <f>HYPERLINK("#2!A5","2")</f>
        <v>2</v>
      </c>
      <c r="F8" s="300" t="str">
        <f>HYPERLINK("https://kaart.delfi.ee/?bookmark=2456dbce930692d81ec761beacb7a00a","Voka staadion")</f>
        <v>Voka staadion</v>
      </c>
      <c r="G8" s="298" t="s">
        <v>75</v>
      </c>
      <c r="H8" s="301">
        <v>3</v>
      </c>
      <c r="I8" s="301"/>
    </row>
    <row r="9" spans="1:10" ht="13.5" thickBot="1" x14ac:dyDescent="0.25">
      <c r="A9" s="288" t="s">
        <v>14</v>
      </c>
      <c r="B9" s="289"/>
      <c r="C9" s="302"/>
      <c r="D9" s="302"/>
      <c r="E9" s="302"/>
      <c r="F9" s="302"/>
      <c r="G9" s="302"/>
      <c r="H9" s="303"/>
      <c r="I9" s="303"/>
      <c r="J9" s="178"/>
    </row>
    <row r="10" spans="1:10" hidden="1" x14ac:dyDescent="0.2">
      <c r="A10" s="304" t="s">
        <v>81</v>
      </c>
      <c r="B10" s="305" t="s">
        <v>69</v>
      </c>
      <c r="C10" s="306" t="s">
        <v>82</v>
      </c>
      <c r="D10" s="307" t="s">
        <v>78</v>
      </c>
      <c r="E10" s="308"/>
      <c r="F10" s="309" t="str">
        <f>HYPERLINK("https://kaart.delfi.ee/?bookmark=2456dbce930692d81ec761beacb7a00a","Voka staadion")</f>
        <v>Voka staadion</v>
      </c>
      <c r="G10" s="307" t="s">
        <v>83</v>
      </c>
      <c r="H10" s="310" t="s">
        <v>84</v>
      </c>
      <c r="I10" s="311"/>
      <c r="J10" s="178"/>
    </row>
    <row r="11" spans="1:10" x14ac:dyDescent="0.2">
      <c r="A11" s="628" t="s">
        <v>337</v>
      </c>
      <c r="B11" s="625" t="s">
        <v>72</v>
      </c>
      <c r="C11" s="625" t="s">
        <v>95</v>
      </c>
      <c r="D11" s="625" t="s">
        <v>74</v>
      </c>
      <c r="E11" s="291" t="str">
        <f>HYPERLINK("#V3!A5","V3")</f>
        <v>V3</v>
      </c>
      <c r="F11" s="640" t="str">
        <f>HYPERLINK("https://kaart.delfi.ee/?bookmark=2456dbce930692d81ec761beacb7a00a","Voka staadion")</f>
        <v>Voka staadion</v>
      </c>
      <c r="G11" s="628" t="s">
        <v>75</v>
      </c>
      <c r="H11" s="641">
        <v>3</v>
      </c>
      <c r="I11" s="641">
        <f>V!AB121</f>
        <v>30</v>
      </c>
    </row>
    <row r="12" spans="1:10" x14ac:dyDescent="0.2">
      <c r="A12" s="293" t="s">
        <v>350</v>
      </c>
      <c r="B12" s="629" t="s">
        <v>90</v>
      </c>
      <c r="C12" s="294" t="s">
        <v>418</v>
      </c>
      <c r="D12" s="294" t="s">
        <v>78</v>
      </c>
      <c r="E12" s="295" t="str">
        <f>HYPERLINK("#M!A5","M")</f>
        <v>M</v>
      </c>
      <c r="F12" s="296" t="str">
        <f>HYPERLINK("https://kaart.delfi.ee/?bookmark=521b80d6ceeefbe3e5d227267242b206","K-Järve spordihoone")</f>
        <v>K-Järve spordihoone</v>
      </c>
      <c r="G12" s="293" t="s">
        <v>351</v>
      </c>
      <c r="H12" s="297"/>
      <c r="I12" s="297">
        <v>20</v>
      </c>
    </row>
    <row r="13" spans="1:10" x14ac:dyDescent="0.2">
      <c r="A13" s="614" t="s">
        <v>338</v>
      </c>
      <c r="B13" s="630" t="s">
        <v>90</v>
      </c>
      <c r="C13" s="611" t="s">
        <v>85</v>
      </c>
      <c r="D13" s="612" t="s">
        <v>74</v>
      </c>
      <c r="E13" s="608" t="str">
        <f>HYPERLINK("#'TMV-d'!A5","TMV-d")</f>
        <v>TMV-d</v>
      </c>
      <c r="F13" s="613" t="str">
        <f>HYPERLINK("https://kaart.delfi.ee/?bookmark=2456dbce930692d81ec761beacb7a00a","Voka staadion")</f>
        <v>Voka staadion</v>
      </c>
      <c r="G13" s="614" t="s">
        <v>75</v>
      </c>
      <c r="H13" s="614" t="s">
        <v>352</v>
      </c>
      <c r="I13" s="616">
        <v>28</v>
      </c>
    </row>
    <row r="14" spans="1:10" hidden="1" x14ac:dyDescent="0.2">
      <c r="A14" s="312" t="s">
        <v>86</v>
      </c>
      <c r="B14" s="312" t="s">
        <v>69</v>
      </c>
      <c r="C14" s="312" t="s">
        <v>87</v>
      </c>
      <c r="D14" s="312" t="s">
        <v>74</v>
      </c>
      <c r="E14" s="313" t="str">
        <f>HYPERLINK("#4!A5","4")</f>
        <v>4</v>
      </c>
      <c r="F14" s="314" t="str">
        <f>HYPERLINK("https://kaart.delfi.ee/?bookmark=521b80d6ceeefbe3e5d227267242b206","K-Järve spordihoone")</f>
        <v>K-Järve spordihoone</v>
      </c>
      <c r="G14" s="315" t="s">
        <v>71</v>
      </c>
      <c r="H14" s="316">
        <v>3</v>
      </c>
      <c r="I14" s="316"/>
      <c r="J14" s="178"/>
    </row>
    <row r="15" spans="1:10" hidden="1" x14ac:dyDescent="0.2">
      <c r="A15" s="317" t="s">
        <v>89</v>
      </c>
      <c r="B15" s="317" t="s">
        <v>90</v>
      </c>
      <c r="C15" s="631" t="str">
        <f>HYPERLINK("https://www.petanque.ee/index.php?id=103820&amp;cid=892","26. Eesti MV")</f>
        <v>26. Eesti MV</v>
      </c>
      <c r="D15" s="317" t="s">
        <v>91</v>
      </c>
      <c r="E15" s="318" t="str">
        <f>HYPERLINK("https://www.petanque.ee/index.php?id=103820&amp;cid=892","e3")</f>
        <v>e3</v>
      </c>
      <c r="F15" s="319" t="str">
        <f>HYPERLINK("https://kaart.delfi.ee/?bookmark=521b80d6ceeefbe3e5d227267242b206","K-Järve spordihoone")</f>
        <v>K-Järve spordihoone</v>
      </c>
      <c r="G15" s="320" t="s">
        <v>92</v>
      </c>
      <c r="H15" s="321">
        <v>15</v>
      </c>
      <c r="I15" s="321"/>
      <c r="J15" s="178"/>
    </row>
    <row r="16" spans="1:10" hidden="1" x14ac:dyDescent="0.2">
      <c r="A16" s="322" t="s">
        <v>93</v>
      </c>
      <c r="B16" s="322" t="s">
        <v>90</v>
      </c>
      <c r="C16" s="324" t="str">
        <f>HYPERLINK("https://www.petanque.ee/index.php?id=103820&amp;cid=893","10. Viru karikas")</f>
        <v>10. Viru karikas</v>
      </c>
      <c r="D16" s="322" t="s">
        <v>74</v>
      </c>
      <c r="E16" s="323"/>
      <c r="F16" s="324" t="str">
        <f>HYPERLINK("https://kaart.delfi.ee/?bookmark=521b80d6ceeefbe3e5d227267242b206","K-Järve spordihoone")</f>
        <v>K-Järve spordihoone</v>
      </c>
      <c r="G16" s="325" t="s">
        <v>94</v>
      </c>
      <c r="H16" s="326">
        <v>12</v>
      </c>
      <c r="I16" s="326"/>
      <c r="J16" s="178"/>
    </row>
    <row r="17" spans="1:10" hidden="1" x14ac:dyDescent="0.2">
      <c r="A17" s="327" t="s">
        <v>96</v>
      </c>
      <c r="B17" s="327" t="s">
        <v>69</v>
      </c>
      <c r="C17" s="327" t="s">
        <v>80</v>
      </c>
      <c r="D17" s="327" t="s">
        <v>91</v>
      </c>
      <c r="E17" s="328" t="str">
        <f>HYPERLINK("#5!A5","5")</f>
        <v>5</v>
      </c>
      <c r="F17" s="329" t="str">
        <f>HYPERLINK("https://kaart.delfi.ee/?bookmark=2456dbce930692d81ec761beacb7a00a","Voka staadion")</f>
        <v>Voka staadion</v>
      </c>
      <c r="G17" s="327" t="s">
        <v>75</v>
      </c>
      <c r="H17" s="330">
        <v>3</v>
      </c>
      <c r="I17" s="330"/>
      <c r="J17" s="178"/>
    </row>
    <row r="18" spans="1:10" ht="13.5" thickBot="1" x14ac:dyDescent="0.25">
      <c r="A18" s="632" t="s">
        <v>341</v>
      </c>
      <c r="B18" s="633" t="s">
        <v>72</v>
      </c>
      <c r="C18" s="627" t="s">
        <v>100</v>
      </c>
      <c r="D18" s="627" t="s">
        <v>74</v>
      </c>
      <c r="E18" s="331" t="str">
        <f>HYPERLINK("#V4!A5","V4")</f>
        <v>V4</v>
      </c>
      <c r="F18" s="642" t="str">
        <f>HYPERLINK("https://kaart.delfi.ee/?bookmark=2456dbce930692d81ec761beacb7a00a","Voka staadion")</f>
        <v>Voka staadion</v>
      </c>
      <c r="G18" s="626" t="s">
        <v>75</v>
      </c>
      <c r="H18" s="643">
        <v>3</v>
      </c>
      <c r="I18" s="643">
        <f>V!AC121</f>
        <v>28</v>
      </c>
    </row>
    <row r="19" spans="1:10" ht="13.5" thickBot="1" x14ac:dyDescent="0.25">
      <c r="A19" s="288" t="s">
        <v>20</v>
      </c>
      <c r="B19" s="289"/>
      <c r="C19" s="332"/>
      <c r="D19" s="332"/>
      <c r="E19" s="333"/>
      <c r="F19" s="332"/>
      <c r="G19" s="332"/>
      <c r="H19" s="334"/>
      <c r="I19" s="334"/>
    </row>
    <row r="20" spans="1:10" hidden="1" x14ac:dyDescent="0.2">
      <c r="A20" s="335" t="s">
        <v>97</v>
      </c>
      <c r="B20" s="336" t="s">
        <v>69</v>
      </c>
      <c r="C20" s="337" t="s">
        <v>98</v>
      </c>
      <c r="D20" s="337" t="s">
        <v>78</v>
      </c>
      <c r="E20" s="338" t="str">
        <f>HYPERLINK("#M2!A5","M2")</f>
        <v>M2</v>
      </c>
      <c r="F20" s="339" t="str">
        <f>HYPERLINK("https://kaart.delfi.ee/?bookmark=521b80d6ceeefbe3e5d227267242b206","K-Järve spordihoone")</f>
        <v>K-Järve spordihoone</v>
      </c>
      <c r="G20" s="337" t="s">
        <v>71</v>
      </c>
      <c r="H20" s="340">
        <v>5</v>
      </c>
      <c r="I20" s="340"/>
    </row>
    <row r="21" spans="1:10" hidden="1" x14ac:dyDescent="0.2">
      <c r="A21" s="341" t="s">
        <v>99</v>
      </c>
      <c r="B21" s="342" t="s">
        <v>69</v>
      </c>
      <c r="C21" s="342" t="s">
        <v>87</v>
      </c>
      <c r="D21" s="342" t="s">
        <v>78</v>
      </c>
      <c r="E21" s="343" t="str">
        <f>HYPERLINK("#6!A5","6")</f>
        <v>6</v>
      </c>
      <c r="F21" s="344" t="str">
        <f>HYPERLINK("https://kaart.delfi.ee/?bookmark=521b80d6ceeefbe3e5d227267242b206","K-Järve spordihoone")</f>
        <v>K-Järve spordihoone</v>
      </c>
      <c r="G21" s="345" t="s">
        <v>71</v>
      </c>
      <c r="H21" s="346">
        <v>3</v>
      </c>
      <c r="I21" s="346"/>
    </row>
    <row r="22" spans="1:10" x14ac:dyDescent="0.2">
      <c r="A22" s="626" t="s">
        <v>342</v>
      </c>
      <c r="B22" s="627" t="s">
        <v>72</v>
      </c>
      <c r="C22" s="627" t="s">
        <v>101</v>
      </c>
      <c r="D22" s="627" t="s">
        <v>74</v>
      </c>
      <c r="E22" s="331" t="str">
        <f>HYPERLINK("#V5!A5","V5")</f>
        <v>V5</v>
      </c>
      <c r="F22" s="642" t="str">
        <f t="shared" ref="F22:F25" si="0">HYPERLINK("https://kaart.delfi.ee/?bookmark=2456dbce930692d81ec761beacb7a00a","Voka staadion")</f>
        <v>Voka staadion</v>
      </c>
      <c r="G22" s="626" t="s">
        <v>75</v>
      </c>
      <c r="H22" s="643">
        <v>3</v>
      </c>
      <c r="I22" s="643">
        <f>V!AD121</f>
        <v>36</v>
      </c>
    </row>
    <row r="23" spans="1:10" hidden="1" x14ac:dyDescent="0.2">
      <c r="A23" s="327" t="s">
        <v>102</v>
      </c>
      <c r="B23" s="327" t="s">
        <v>72</v>
      </c>
      <c r="C23" s="327" t="s">
        <v>80</v>
      </c>
      <c r="D23" s="327" t="s">
        <v>103</v>
      </c>
      <c r="E23" s="347" t="str">
        <f>HYPERLINK("#7!A5","7")</f>
        <v>7</v>
      </c>
      <c r="F23" s="329" t="str">
        <f>HYPERLINK("http://kaart.delfi.ee//?bookmark=1840db012ef3a4aff78d37f1f3ff52b8","K-Järve spordihoone")</f>
        <v>K-Järve spordihoone</v>
      </c>
      <c r="G23" s="348" t="s">
        <v>71</v>
      </c>
      <c r="H23" s="330">
        <v>3</v>
      </c>
      <c r="I23" s="330"/>
    </row>
    <row r="24" spans="1:10" x14ac:dyDescent="0.2">
      <c r="A24" s="626" t="s">
        <v>343</v>
      </c>
      <c r="B24" s="627" t="s">
        <v>72</v>
      </c>
      <c r="C24" s="627" t="s">
        <v>104</v>
      </c>
      <c r="D24" s="627" t="s">
        <v>74</v>
      </c>
      <c r="E24" s="331" t="str">
        <f>HYPERLINK("#V6!A5","V6")</f>
        <v>V6</v>
      </c>
      <c r="F24" s="642" t="str">
        <f t="shared" si="0"/>
        <v>Voka staadion</v>
      </c>
      <c r="G24" s="626" t="s">
        <v>75</v>
      </c>
      <c r="H24" s="643">
        <v>3</v>
      </c>
      <c r="I24" s="643">
        <f>V!AE121</f>
        <v>33</v>
      </c>
    </row>
    <row r="25" spans="1:10" ht="13.5" thickBot="1" x14ac:dyDescent="0.25">
      <c r="A25" s="634" t="s">
        <v>344</v>
      </c>
      <c r="B25" s="635" t="s">
        <v>69</v>
      </c>
      <c r="C25" s="636" t="s">
        <v>349</v>
      </c>
      <c r="D25" s="636" t="s">
        <v>78</v>
      </c>
      <c r="E25" s="331" t="str">
        <f>HYPERLINK("#Mu!A5","Mu")</f>
        <v>Mu</v>
      </c>
      <c r="F25" s="644" t="str">
        <f t="shared" si="0"/>
        <v>Voka staadion</v>
      </c>
      <c r="G25" s="645" t="s">
        <v>75</v>
      </c>
      <c r="H25" s="646">
        <v>3</v>
      </c>
      <c r="I25" s="646">
        <v>21</v>
      </c>
    </row>
    <row r="26" spans="1:10" ht="13.5" thickBot="1" x14ac:dyDescent="0.25">
      <c r="A26" s="288" t="s">
        <v>28</v>
      </c>
      <c r="B26" s="289"/>
      <c r="C26" s="332"/>
      <c r="D26" s="332"/>
      <c r="E26" s="332"/>
      <c r="F26" s="332"/>
      <c r="G26" s="332"/>
      <c r="H26" s="334"/>
      <c r="I26" s="334"/>
    </row>
    <row r="27" spans="1:10" x14ac:dyDescent="0.2">
      <c r="A27" s="637" t="s">
        <v>347</v>
      </c>
      <c r="B27" s="638" t="s">
        <v>72</v>
      </c>
      <c r="C27" s="627" t="s">
        <v>105</v>
      </c>
      <c r="D27" s="627" t="s">
        <v>74</v>
      </c>
      <c r="E27" s="331" t="str">
        <f>HYPERLINK("#V7!A5","V7")</f>
        <v>V7</v>
      </c>
      <c r="F27" s="642" t="str">
        <f t="shared" ref="F27:F28" si="1">HYPERLINK("https://kaart.delfi.ee/?bookmark=2456dbce930692d81ec761beacb7a00a","Voka staadion")</f>
        <v>Voka staadion</v>
      </c>
      <c r="G27" s="626" t="s">
        <v>75</v>
      </c>
      <c r="H27" s="643">
        <v>3</v>
      </c>
      <c r="I27" s="643">
        <f>V!AF121</f>
        <v>22</v>
      </c>
    </row>
    <row r="28" spans="1:10" x14ac:dyDescent="0.2">
      <c r="A28" s="626" t="s">
        <v>345</v>
      </c>
      <c r="B28" s="627" t="s">
        <v>72</v>
      </c>
      <c r="C28" s="627" t="s">
        <v>106</v>
      </c>
      <c r="D28" s="627" t="s">
        <v>74</v>
      </c>
      <c r="E28" s="331" t="str">
        <f>HYPERLINK("#V8!A5","V8")</f>
        <v>V8</v>
      </c>
      <c r="F28" s="642" t="str">
        <f t="shared" si="1"/>
        <v>Voka staadion</v>
      </c>
      <c r="G28" s="626" t="s">
        <v>75</v>
      </c>
      <c r="H28" s="643">
        <v>3</v>
      </c>
      <c r="I28" s="643">
        <f>V!AG121</f>
        <v>18</v>
      </c>
    </row>
    <row r="29" spans="1:10" hidden="1" x14ac:dyDescent="0.2">
      <c r="A29" s="349" t="s">
        <v>107</v>
      </c>
      <c r="B29" s="337" t="s">
        <v>69</v>
      </c>
      <c r="C29" s="337" t="s">
        <v>108</v>
      </c>
      <c r="D29" s="337" t="s">
        <v>78</v>
      </c>
      <c r="E29" s="338" t="str">
        <f>HYPERLINK("#M3!A5","M3")</f>
        <v>M3</v>
      </c>
      <c r="F29" s="339" t="str">
        <f>HYPERLINK("https://kaart.delfi.ee/?bookmark=521b80d6ceeefbe3e5d227267242b206","K-Järve spordihoone")</f>
        <v>K-Järve spordihoone</v>
      </c>
      <c r="G29" s="337" t="s">
        <v>71</v>
      </c>
      <c r="H29" s="340">
        <v>5</v>
      </c>
      <c r="I29" s="340"/>
    </row>
    <row r="30" spans="1:10" ht="13.5" thickBot="1" x14ac:dyDescent="0.25">
      <c r="A30" s="632" t="s">
        <v>346</v>
      </c>
      <c r="B30" s="633" t="s">
        <v>72</v>
      </c>
      <c r="C30" s="627" t="s">
        <v>110</v>
      </c>
      <c r="D30" s="627" t="s">
        <v>74</v>
      </c>
      <c r="E30" s="331" t="str">
        <f>HYPERLINK("#V9!A5","V9")</f>
        <v>V9</v>
      </c>
      <c r="F30" s="642" t="str">
        <f t="shared" ref="F30:F32" si="2">HYPERLINK("https://kaart.delfi.ee/?bookmark=2456dbce930692d81ec761beacb7a00a","Voka staadion")</f>
        <v>Voka staadion</v>
      </c>
      <c r="G30" s="626" t="s">
        <v>75</v>
      </c>
      <c r="H30" s="643">
        <v>3</v>
      </c>
      <c r="I30" s="643">
        <f>V!AH121</f>
        <v>29</v>
      </c>
    </row>
    <row r="31" spans="1:10" ht="13.5" thickBot="1" x14ac:dyDescent="0.25">
      <c r="A31" s="288" t="s">
        <v>29</v>
      </c>
      <c r="B31" s="289"/>
      <c r="C31" s="332"/>
      <c r="D31" s="332"/>
      <c r="E31" s="332"/>
      <c r="F31" s="332"/>
      <c r="G31" s="332"/>
      <c r="H31" s="334"/>
      <c r="I31" s="334"/>
    </row>
    <row r="32" spans="1:10" hidden="1" x14ac:dyDescent="0.2">
      <c r="A32" s="350" t="s">
        <v>109</v>
      </c>
      <c r="B32" s="350" t="s">
        <v>69</v>
      </c>
      <c r="C32" s="298" t="s">
        <v>80</v>
      </c>
      <c r="D32" s="298" t="s">
        <v>74</v>
      </c>
      <c r="E32" s="299" t="str">
        <f>HYPERLINK("#9!A5","9")</f>
        <v>9</v>
      </c>
      <c r="F32" s="300" t="str">
        <f t="shared" si="2"/>
        <v>Voka staadion</v>
      </c>
      <c r="G32" s="298" t="s">
        <v>75</v>
      </c>
      <c r="H32" s="301">
        <v>3</v>
      </c>
      <c r="I32" s="301"/>
    </row>
    <row r="33" spans="1:9" hidden="1" x14ac:dyDescent="0.2">
      <c r="A33" s="298" t="s">
        <v>111</v>
      </c>
      <c r="B33" s="298" t="s">
        <v>69</v>
      </c>
      <c r="C33" s="298" t="s">
        <v>80</v>
      </c>
      <c r="D33" s="298" t="s">
        <v>70</v>
      </c>
      <c r="E33" s="299" t="str">
        <f>HYPERLINK("#10!A5","10")</f>
        <v>10</v>
      </c>
      <c r="F33" s="300" t="str">
        <f>HYPERLINK("https://kaart.delfi.ee/?bookmark=521b80d6ceeefbe3e5d227267242b206","K-Järve spordihoone")</f>
        <v>K-Järve spordihoone</v>
      </c>
      <c r="G33" s="351" t="s">
        <v>71</v>
      </c>
      <c r="H33" s="301">
        <v>3</v>
      </c>
      <c r="I33" s="301"/>
    </row>
    <row r="34" spans="1:9" x14ac:dyDescent="0.2">
      <c r="A34" s="626" t="s">
        <v>457</v>
      </c>
      <c r="B34" s="639" t="s">
        <v>69</v>
      </c>
      <c r="C34" s="627" t="s">
        <v>112</v>
      </c>
      <c r="D34" s="627" t="s">
        <v>74</v>
      </c>
      <c r="E34" s="331" t="str">
        <f>HYPERLINK("#V10!A5","V10")</f>
        <v>V10</v>
      </c>
      <c r="F34" s="642" t="str">
        <f t="shared" ref="F34" si="3">HYPERLINK("https://kaart.delfi.ee/?bookmark=2456dbce930692d81ec761beacb7a00a","Voka staadion")</f>
        <v>Voka staadion</v>
      </c>
      <c r="G34" s="626" t="s">
        <v>75</v>
      </c>
      <c r="H34" s="643">
        <v>3</v>
      </c>
      <c r="I34" s="643">
        <f>V!AI121</f>
        <v>25</v>
      </c>
    </row>
    <row r="35" spans="1:9" hidden="1" x14ac:dyDescent="0.2">
      <c r="A35" s="349" t="s">
        <v>113</v>
      </c>
      <c r="B35" s="337" t="s">
        <v>69</v>
      </c>
      <c r="C35" s="337" t="s">
        <v>114</v>
      </c>
      <c r="D35" s="337" t="s">
        <v>78</v>
      </c>
      <c r="E35" s="338" t="str">
        <f>HYPERLINK("#M4!A5","M4")</f>
        <v>M4</v>
      </c>
      <c r="F35" s="339" t="str">
        <f>HYPERLINK("https://kaart.delfi.ee/?bookmark=521b80d6ceeefbe3e5d227267242b206","K-Järve spordihoone")</f>
        <v>K-Järve spordihoone</v>
      </c>
      <c r="G35" s="337" t="s">
        <v>71</v>
      </c>
      <c r="H35" s="340">
        <v>5</v>
      </c>
      <c r="I35" s="340"/>
    </row>
    <row r="36" spans="1:9" x14ac:dyDescent="0.2">
      <c r="A36" s="614" t="s">
        <v>339</v>
      </c>
      <c r="B36" s="612" t="s">
        <v>69</v>
      </c>
      <c r="C36" s="611" t="s">
        <v>85</v>
      </c>
      <c r="D36" s="612" t="s">
        <v>78</v>
      </c>
      <c r="E36" s="608" t="str">
        <f>HYPERLINK("#'TMV-ü'!A5","TMV-ü")</f>
        <v>TMV-ü</v>
      </c>
      <c r="F36" s="613" t="str">
        <f>HYPERLINK("https://kaart.delfi.ee/?bookmark=2456dbce930692d81ec761beacb7a00a","Voka staadion")</f>
        <v>Voka staadion</v>
      </c>
      <c r="G36" s="614" t="s">
        <v>75</v>
      </c>
      <c r="H36" s="615">
        <v>3</v>
      </c>
      <c r="I36" s="616">
        <v>20</v>
      </c>
    </row>
    <row r="37" spans="1:9" s="178" customFormat="1" ht="13.5" thickBot="1" x14ac:dyDescent="0.25">
      <c r="A37" s="609" t="s">
        <v>340</v>
      </c>
      <c r="B37" s="610" t="s">
        <v>69</v>
      </c>
      <c r="C37" s="611" t="s">
        <v>85</v>
      </c>
      <c r="D37" s="612" t="s">
        <v>70</v>
      </c>
      <c r="E37" s="608" t="str">
        <f>HYPERLINK("#'TMV-t'!A5","TMV-t")</f>
        <v>TMV-t</v>
      </c>
      <c r="F37" s="613" t="str">
        <f>HYPERLINK("https://kaart.delfi.ee/?bookmark=2456dbce930692d81ec761beacb7a00a","Voka staadion")</f>
        <v>Voka staadion</v>
      </c>
      <c r="G37" s="614" t="s">
        <v>75</v>
      </c>
      <c r="H37" s="615">
        <v>3</v>
      </c>
      <c r="I37" s="616"/>
    </row>
    <row r="38" spans="1:9" ht="13.5" thickBot="1" x14ac:dyDescent="0.25">
      <c r="A38" s="288" t="s">
        <v>30</v>
      </c>
      <c r="B38" s="289"/>
      <c r="C38" s="332"/>
      <c r="D38" s="332"/>
      <c r="E38" s="332"/>
      <c r="F38" s="332"/>
      <c r="G38" s="332"/>
      <c r="H38" s="334"/>
      <c r="I38" s="334"/>
    </row>
    <row r="39" spans="1:9" hidden="1" x14ac:dyDescent="0.2">
      <c r="A39" s="335" t="s">
        <v>115</v>
      </c>
      <c r="B39" s="336" t="s">
        <v>69</v>
      </c>
      <c r="C39" s="337" t="s">
        <v>116</v>
      </c>
      <c r="D39" s="337" t="s">
        <v>78</v>
      </c>
      <c r="E39" s="338" t="str">
        <f>HYPERLINK("#M5!A5","M5")</f>
        <v>M5</v>
      </c>
      <c r="F39" s="339" t="str">
        <f>HYPERLINK("https://kaart.delfi.ee/?bookmark=521b80d6ceeefbe3e5d227267242b206","K-Järve spordihoone")</f>
        <v>K-Järve spordihoone</v>
      </c>
      <c r="G39" s="337" t="s">
        <v>71</v>
      </c>
      <c r="H39" s="340">
        <v>5</v>
      </c>
      <c r="I39" s="340"/>
    </row>
    <row r="40" spans="1:9" hidden="1" x14ac:dyDescent="0.2">
      <c r="A40" s="352" t="s">
        <v>117</v>
      </c>
      <c r="B40" s="353" t="s">
        <v>69</v>
      </c>
      <c r="C40" s="354" t="s">
        <v>118</v>
      </c>
      <c r="D40" s="353" t="s">
        <v>78</v>
      </c>
      <c r="E40" s="355"/>
      <c r="F40" s="356" t="str">
        <f>HYPERLINK("https://kaart.delfi.ee/?bookmark=2456dbce930692d81ec761beacb7a00a","Voka staadion")</f>
        <v>Voka staadion</v>
      </c>
      <c r="G40" s="353"/>
      <c r="H40" s="357">
        <v>0</v>
      </c>
      <c r="I40" s="357"/>
    </row>
    <row r="41" spans="1:9" hidden="1" x14ac:dyDescent="0.2">
      <c r="A41" s="358" t="s">
        <v>119</v>
      </c>
      <c r="B41" s="359"/>
      <c r="C41" s="360"/>
      <c r="D41" s="359"/>
      <c r="E41" s="361"/>
      <c r="F41" s="362"/>
      <c r="G41" s="359"/>
      <c r="H41" s="363"/>
      <c r="I41" s="363"/>
    </row>
    <row r="42" spans="1:9" s="178" customFormat="1" x14ac:dyDescent="0.2">
      <c r="A42" s="364"/>
      <c r="B42" s="365"/>
      <c r="C42" s="17"/>
      <c r="D42" s="366"/>
      <c r="E42" s="105"/>
      <c r="F42" s="105"/>
      <c r="G42" s="365"/>
      <c r="H42" s="367"/>
      <c r="I42" s="367"/>
    </row>
    <row r="43" spans="1:9" s="178" customFormat="1" hidden="1" x14ac:dyDescent="0.2">
      <c r="A43" s="368" t="s">
        <v>120</v>
      </c>
      <c r="B43" s="369"/>
      <c r="C43" s="370"/>
      <c r="D43" s="371"/>
      <c r="E43" s="372"/>
      <c r="F43" s="372"/>
      <c r="G43" s="369"/>
      <c r="H43" s="367"/>
      <c r="I43" s="367"/>
    </row>
    <row r="44" spans="1:9" hidden="1" x14ac:dyDescent="0.2">
      <c r="A44" s="368" t="s">
        <v>121</v>
      </c>
      <c r="B44" s="370"/>
      <c r="C44" s="370"/>
      <c r="D44" s="370"/>
      <c r="E44" s="370"/>
      <c r="F44" s="370"/>
      <c r="G44" s="370" t="s">
        <v>122</v>
      </c>
      <c r="H44" s="332"/>
      <c r="I44" s="332"/>
    </row>
    <row r="45" spans="1:9" hidden="1" x14ac:dyDescent="0.2">
      <c r="A45" s="3" t="s">
        <v>123</v>
      </c>
      <c r="B45" s="4"/>
      <c r="C45" s="4"/>
      <c r="D45" s="4"/>
      <c r="E45" s="4"/>
      <c r="F45" s="4"/>
      <c r="G45" s="4"/>
      <c r="H45" s="4"/>
      <c r="I45" s="4"/>
    </row>
    <row r="46" spans="1:9" hidden="1" x14ac:dyDescent="0.2">
      <c r="A46" s="373" t="s">
        <v>36</v>
      </c>
      <c r="B46" s="4"/>
      <c r="C46" s="4"/>
      <c r="D46" s="4"/>
      <c r="E46" s="4"/>
      <c r="F46" s="4"/>
      <c r="G46" s="4"/>
      <c r="H46" s="4"/>
      <c r="I46" s="4"/>
    </row>
    <row r="47" spans="1:9" hidden="1" x14ac:dyDescent="0.2">
      <c r="A47" s="276" t="s">
        <v>124</v>
      </c>
      <c r="B47" s="276"/>
      <c r="C47" s="276"/>
      <c r="D47" s="276"/>
      <c r="E47" s="276"/>
      <c r="F47" s="276"/>
      <c r="G47" s="276"/>
      <c r="H47" s="276"/>
      <c r="I47" s="276"/>
    </row>
    <row r="48" spans="1:9" x14ac:dyDescent="0.2">
      <c r="A48" s="276" t="s">
        <v>125</v>
      </c>
      <c r="B48" s="276"/>
      <c r="C48" s="276"/>
      <c r="D48" s="278" t="str">
        <f>HYPERLINK("https://webzone.ee/petank/juhendid/voka-10-kv-2023-juhend.pdf","Juhend")</f>
        <v>Juhend</v>
      </c>
      <c r="E48" s="8"/>
      <c r="F48" s="8"/>
      <c r="G48" s="8"/>
      <c r="H48" s="8"/>
      <c r="I48" s="8"/>
    </row>
    <row r="49" spans="1:16" hidden="1" x14ac:dyDescent="0.2">
      <c r="A49" s="279" t="s">
        <v>38</v>
      </c>
      <c r="B49" s="8"/>
      <c r="C49" s="8"/>
      <c r="D49" s="278" t="str">
        <f>HYPERLINK("https://www.petanque.ee/juhendid/reitinguarvestus-2022/","Juhend")</f>
        <v>Juhend</v>
      </c>
      <c r="E49" s="8"/>
      <c r="F49" s="8"/>
      <c r="G49" s="8"/>
      <c r="H49" s="8"/>
      <c r="I49" s="8"/>
      <c r="J49" s="8"/>
      <c r="K49" s="8"/>
      <c r="L49" s="8"/>
      <c r="M49" s="8"/>
      <c r="N49" s="274"/>
      <c r="O49" s="6"/>
      <c r="P49" s="6"/>
    </row>
    <row r="50" spans="1:16" hidden="1" x14ac:dyDescent="0.2">
      <c r="A50" s="374" t="s">
        <v>39</v>
      </c>
      <c r="B50" s="8"/>
      <c r="C50" s="8"/>
      <c r="D50" s="8"/>
      <c r="E50" s="274"/>
      <c r="F50" s="274"/>
      <c r="G50" s="8"/>
      <c r="H50" s="8"/>
      <c r="I50" s="8"/>
      <c r="J50" s="8"/>
      <c r="K50" s="8"/>
      <c r="L50" s="8"/>
      <c r="M50" s="8"/>
      <c r="O50" s="6"/>
      <c r="P50" s="6"/>
    </row>
    <row r="51" spans="1:16" x14ac:dyDescent="0.2">
      <c r="A51" s="375" t="s">
        <v>126</v>
      </c>
      <c r="B51" s="4"/>
      <c r="C51" s="4"/>
      <c r="D51" s="4"/>
      <c r="E51" s="4"/>
      <c r="F51" s="4"/>
      <c r="G51" s="4"/>
      <c r="H51" s="4"/>
      <c r="I51" s="4"/>
    </row>
    <row r="52" spans="1:16" x14ac:dyDescent="0.2">
      <c r="A52" s="4"/>
      <c r="B52" s="4"/>
      <c r="C52" s="4"/>
      <c r="D52" s="4"/>
      <c r="E52" s="4"/>
      <c r="F52" s="4"/>
      <c r="G52" s="4"/>
      <c r="H52" s="4"/>
      <c r="I52" s="4"/>
    </row>
  </sheetData>
  <conditionalFormatting sqref="I5:I41">
    <cfRule type="top10" dxfId="655" priority="59" stopIfTrue="1" rank="1"/>
  </conditionalFormatting>
  <pageMargins left="0.39370078740157483" right="0.27559055118110237" top="0.78740157480314965" bottom="0.39370078740157483" header="0.59055118110236227" footer="0"/>
  <pageSetup paperSize="9" fitToHeight="0" orientation="portrait" r:id="rId1"/>
  <headerFooter>
    <oddHeader>&amp;R&amp;9Page &amp;P of &amp;N</oddHead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P309"/>
  <sheetViews>
    <sheetView showGridLines="0" showRowColHeaders="0" workbookViewId="0">
      <pane ySplit="1" topLeftCell="A2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1" width="3.28515625" style="377" customWidth="1"/>
    <col min="2" max="2" width="32.85546875" style="377" customWidth="1"/>
    <col min="3" max="3" width="4.7109375" style="377" customWidth="1"/>
    <col min="4" max="4" width="1.140625" style="377" customWidth="1"/>
    <col min="5" max="5" width="2.7109375" style="377" customWidth="1"/>
    <col min="6" max="6" width="9.140625" style="377"/>
    <col min="7" max="7" width="2.7109375" style="377" customWidth="1"/>
    <col min="8" max="8" width="1.140625" style="377" customWidth="1"/>
    <col min="9" max="9" width="2.7109375" style="377" customWidth="1"/>
    <col min="10" max="10" width="9.140625" style="377"/>
    <col min="11" max="11" width="2.7109375" style="377" customWidth="1"/>
    <col min="12" max="12" width="1.140625" style="377" customWidth="1"/>
    <col min="13" max="13" width="2.7109375" style="377" customWidth="1"/>
    <col min="14" max="14" width="9.140625" style="377"/>
    <col min="15" max="15" width="2.7109375" style="377" customWidth="1"/>
    <col min="16" max="16" width="1.140625" style="377" customWidth="1"/>
    <col min="17" max="17" width="2.7109375" style="377" customWidth="1"/>
    <col min="18" max="18" width="9.140625" style="377"/>
    <col min="19" max="19" width="2.7109375" style="377" hidden="1" customWidth="1"/>
    <col min="20" max="20" width="1.140625" style="377" hidden="1" customWidth="1"/>
    <col min="21" max="21" width="2.7109375" style="377" hidden="1" customWidth="1"/>
    <col min="22" max="22" width="0" style="377" hidden="1" customWidth="1"/>
    <col min="23" max="23" width="5.7109375" style="377" customWidth="1"/>
    <col min="24" max="24" width="5.5703125" style="377" customWidth="1"/>
    <col min="25" max="25" width="7.42578125" style="377" customWidth="1"/>
    <col min="26" max="26" width="2.7109375" style="377" customWidth="1"/>
    <col min="27" max="27" width="1.140625" style="377" customWidth="1"/>
    <col min="28" max="28" width="2.7109375" style="377" customWidth="1"/>
    <col min="29" max="29" width="4.7109375" style="377" customWidth="1"/>
    <col min="30" max="31" width="9.140625" style="377" hidden="1" customWidth="1"/>
    <col min="32" max="32" width="17.7109375" style="377" hidden="1" customWidth="1"/>
    <col min="33" max="33" width="9.140625" style="377" hidden="1" customWidth="1"/>
    <col min="34" max="34" width="28" style="377" hidden="1" customWidth="1"/>
    <col min="35" max="35" width="9.140625" style="377" hidden="1" customWidth="1"/>
    <col min="36" max="36" width="17.28515625" style="377" hidden="1" customWidth="1"/>
    <col min="37" max="37" width="9.140625" style="377" hidden="1" customWidth="1"/>
    <col min="38" max="38" width="13.85546875" style="377" hidden="1" customWidth="1"/>
    <col min="39" max="39" width="9.140625" style="377" hidden="1" customWidth="1"/>
    <col min="40" max="40" width="17.28515625" style="377" hidden="1" customWidth="1"/>
    <col min="41" max="41" width="9.140625" style="377" hidden="1" customWidth="1"/>
    <col min="42" max="42" width="13.85546875" style="377" hidden="1" customWidth="1"/>
    <col min="43" max="16384" width="9.140625" style="377"/>
  </cols>
  <sheetData>
    <row r="1" spans="1:42" x14ac:dyDescent="0.2">
      <c r="A1" s="376" t="str">
        <f>UPPER((Kalend!E27)&amp;" - "&amp;(Kalend!C27))&amp;" - "&amp;LOWER(Kalend!D27)&amp;" - "&amp;(Kalend!A27)&amp;" kell "&amp;(Kalend!B27)&amp;" - "&amp;(Kalend!F27)</f>
        <v>V7 - VOKA X KV 7. ETAPP - duo - K, 02.08.2023 kell 18:00 - Voka staadion</v>
      </c>
      <c r="O1" s="378"/>
      <c r="P1" s="378"/>
      <c r="Q1" s="379"/>
      <c r="R1" s="379"/>
      <c r="S1" s="379"/>
      <c r="T1" s="380"/>
      <c r="U1" s="380"/>
      <c r="V1" s="380"/>
      <c r="W1" s="378"/>
      <c r="X1" s="381"/>
      <c r="Y1" s="378"/>
      <c r="Z1" s="378"/>
      <c r="AD1" s="382" t="s">
        <v>133</v>
      </c>
      <c r="AE1" s="383"/>
      <c r="AF1" s="383"/>
      <c r="AG1" s="383"/>
      <c r="AH1" s="383"/>
      <c r="AI1" s="383"/>
      <c r="AJ1" s="383"/>
      <c r="AK1" s="383"/>
      <c r="AL1" s="383"/>
      <c r="AM1" s="383"/>
      <c r="AN1" s="383"/>
      <c r="AO1" s="384"/>
      <c r="AP1" s="384"/>
    </row>
    <row r="2" spans="1:42" x14ac:dyDescent="0.2">
      <c r="A2" s="385"/>
      <c r="F2" s="378"/>
      <c r="L2" s="386"/>
      <c r="M2" s="386"/>
      <c r="N2" s="386"/>
      <c r="O2" s="378"/>
      <c r="P2" s="378"/>
      <c r="Q2" s="378"/>
      <c r="R2" s="387" t="s">
        <v>292</v>
      </c>
      <c r="S2" s="378"/>
      <c r="T2" s="386"/>
      <c r="U2" s="386"/>
      <c r="V2" s="386"/>
      <c r="W2" s="388">
        <v>1</v>
      </c>
      <c r="X2" s="389" t="s">
        <v>293</v>
      </c>
      <c r="Y2" s="378"/>
      <c r="Z2" s="378"/>
      <c r="AA2" s="378"/>
      <c r="AB2" s="378"/>
      <c r="AE2" s="378"/>
      <c r="AG2" s="378"/>
      <c r="AH2" s="378"/>
      <c r="AI2" s="378"/>
      <c r="AJ2" s="378"/>
      <c r="AK2" s="378"/>
      <c r="AL2" s="378"/>
      <c r="AM2" s="378"/>
      <c r="AN2" s="378"/>
    </row>
    <row r="3" spans="1:42" x14ac:dyDescent="0.2">
      <c r="A3" s="385"/>
      <c r="F3" s="378"/>
      <c r="L3" s="378"/>
      <c r="M3" s="378"/>
      <c r="N3" s="378"/>
      <c r="O3" s="378"/>
      <c r="P3" s="378"/>
      <c r="Q3" s="378"/>
      <c r="R3" s="390" t="s">
        <v>294</v>
      </c>
      <c r="S3" s="378"/>
      <c r="T3" s="378"/>
      <c r="U3" s="378"/>
      <c r="V3" s="378"/>
      <c r="W3" s="388">
        <v>0.5</v>
      </c>
      <c r="X3" s="389" t="s">
        <v>293</v>
      </c>
      <c r="Y3" s="378"/>
      <c r="Z3" s="378"/>
      <c r="AA3" s="378"/>
      <c r="AB3" s="378"/>
      <c r="AE3" s="386"/>
      <c r="AF3" s="386"/>
      <c r="AG3" s="386"/>
      <c r="AH3" s="391"/>
      <c r="AI3" s="386"/>
      <c r="AJ3" s="386"/>
      <c r="AK3" s="386"/>
      <c r="AL3" s="386"/>
      <c r="AM3" s="386"/>
      <c r="AN3" s="386"/>
      <c r="AO3" s="386"/>
      <c r="AP3" s="386"/>
    </row>
    <row r="4" spans="1:42" x14ac:dyDescent="0.2">
      <c r="F4" s="378"/>
      <c r="L4" s="378"/>
      <c r="M4" s="378"/>
      <c r="N4" s="378"/>
      <c r="O4" s="378"/>
      <c r="P4" s="378"/>
      <c r="Q4" s="378"/>
      <c r="R4" s="392" t="s">
        <v>295</v>
      </c>
      <c r="S4" s="378"/>
      <c r="T4" s="378"/>
      <c r="U4" s="378"/>
      <c r="V4" s="378"/>
      <c r="W4" s="388">
        <v>0</v>
      </c>
      <c r="X4" s="389" t="s">
        <v>293</v>
      </c>
      <c r="Y4" s="378"/>
      <c r="Z4" s="378"/>
      <c r="AA4" s="378"/>
      <c r="AB4" s="378"/>
    </row>
    <row r="5" spans="1:42" x14ac:dyDescent="0.2">
      <c r="F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W5" s="378"/>
      <c r="X5" s="378"/>
      <c r="Y5" s="378"/>
      <c r="Z5" s="378"/>
      <c r="AA5" s="378"/>
      <c r="AB5" s="393" t="s">
        <v>296</v>
      </c>
      <c r="AD5" s="394" t="s">
        <v>297</v>
      </c>
    </row>
    <row r="6" spans="1:42" x14ac:dyDescent="0.2">
      <c r="A6" s="395" t="s">
        <v>157</v>
      </c>
      <c r="B6" s="395" t="s">
        <v>156</v>
      </c>
      <c r="C6" s="396" t="s">
        <v>298</v>
      </c>
      <c r="D6" s="397"/>
      <c r="E6" s="397"/>
      <c r="F6" s="398"/>
      <c r="G6" s="396" t="s">
        <v>299</v>
      </c>
      <c r="H6" s="397"/>
      <c r="I6" s="397"/>
      <c r="J6" s="398"/>
      <c r="K6" s="396" t="s">
        <v>300</v>
      </c>
      <c r="L6" s="397"/>
      <c r="M6" s="397"/>
      <c r="N6" s="398"/>
      <c r="O6" s="396" t="s">
        <v>301</v>
      </c>
      <c r="P6" s="397"/>
      <c r="Q6" s="397"/>
      <c r="R6" s="398"/>
      <c r="S6" s="396" t="s">
        <v>302</v>
      </c>
      <c r="T6" s="397"/>
      <c r="U6" s="397"/>
      <c r="V6" s="398"/>
      <c r="W6" s="395" t="s">
        <v>142</v>
      </c>
      <c r="X6" s="399" t="s">
        <v>303</v>
      </c>
      <c r="Y6" s="395" t="s">
        <v>304</v>
      </c>
      <c r="Z6" s="399"/>
      <c r="AA6" s="400" t="s">
        <v>305</v>
      </c>
      <c r="AB6" s="401"/>
      <c r="AC6" s="402" t="s">
        <v>306</v>
      </c>
      <c r="AD6" s="403" t="s">
        <v>261</v>
      </c>
      <c r="AE6" s="404"/>
      <c r="AF6" s="404" t="s">
        <v>307</v>
      </c>
      <c r="AG6" s="404"/>
      <c r="AH6" s="405" t="s">
        <v>308</v>
      </c>
      <c r="AI6" s="404"/>
      <c r="AJ6" s="404" t="s">
        <v>309</v>
      </c>
      <c r="AK6" s="406"/>
      <c r="AL6" s="404" t="s">
        <v>310</v>
      </c>
      <c r="AM6" s="406"/>
      <c r="AN6" s="406" t="s">
        <v>311</v>
      </c>
      <c r="AO6" s="407"/>
      <c r="AP6" s="406" t="s">
        <v>312</v>
      </c>
    </row>
    <row r="7" spans="1:42" x14ac:dyDescent="0.2">
      <c r="A7" s="408">
        <v>1</v>
      </c>
      <c r="B7" s="409" t="s">
        <v>445</v>
      </c>
      <c r="C7" s="410">
        <v>13</v>
      </c>
      <c r="D7" s="411" t="s">
        <v>313</v>
      </c>
      <c r="E7" s="411">
        <v>5</v>
      </c>
      <c r="F7" s="412" t="s">
        <v>446</v>
      </c>
      <c r="G7" s="410">
        <v>13</v>
      </c>
      <c r="H7" s="411" t="s">
        <v>313</v>
      </c>
      <c r="I7" s="411">
        <v>4</v>
      </c>
      <c r="J7" s="412" t="s">
        <v>394</v>
      </c>
      <c r="K7" s="410">
        <v>13</v>
      </c>
      <c r="L7" s="411" t="s">
        <v>313</v>
      </c>
      <c r="M7" s="411">
        <v>10</v>
      </c>
      <c r="N7" s="412" t="s">
        <v>323</v>
      </c>
      <c r="O7" s="410">
        <v>13</v>
      </c>
      <c r="P7" s="411" t="s">
        <v>313</v>
      </c>
      <c r="Q7" s="411">
        <v>1</v>
      </c>
      <c r="R7" s="412" t="s">
        <v>447</v>
      </c>
      <c r="S7" s="410"/>
      <c r="T7" s="411"/>
      <c r="U7" s="411"/>
      <c r="V7" s="412"/>
      <c r="W7" s="413">
        <f t="shared" ref="W7:W16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4</v>
      </c>
      <c r="X7" s="414">
        <v>18</v>
      </c>
      <c r="Y7" s="414">
        <v>76</v>
      </c>
      <c r="Z7" s="410">
        <f t="shared" ref="Z7:Z16" si="1">C7+G7+K7+O7+S7</f>
        <v>52</v>
      </c>
      <c r="AA7" s="411" t="s">
        <v>313</v>
      </c>
      <c r="AB7" s="415">
        <f t="shared" ref="AB7:AB16" si="2">E7+I7+M7+Q7+U7</f>
        <v>20</v>
      </c>
      <c r="AC7" s="416">
        <f t="shared" ref="AC7:AC16" si="3">Z7-AB7</f>
        <v>32</v>
      </c>
      <c r="AD7" s="417">
        <f t="shared" ref="AD7:AD10" si="4">SUM(AE7:AL7)</f>
        <v>262</v>
      </c>
      <c r="AE7" s="418">
        <f>IFERROR(INDEX(V!$R:$R,MATCH(AF7,V!$L:$L,0)),"")</f>
        <v>132</v>
      </c>
      <c r="AF7" s="419" t="str">
        <f t="shared" ref="AF7:AF16" si="5">IFERROR(LEFT($B7,(FIND(",",$B7,1)-1)),"")</f>
        <v>Ivar Viljaste</v>
      </c>
      <c r="AG7" s="418">
        <f>IFERROR(INDEX(V!$R:$R,MATCH(AH7,V!$L:$L,0)),"")</f>
        <v>130</v>
      </c>
      <c r="AH7" s="419" t="str">
        <f t="shared" ref="AH7:AH16" si="6">IFERROR(MID($B7,FIND(", ",$B7)+2,256),"")</f>
        <v>Kaspar Mänd</v>
      </c>
      <c r="AI7" s="418" t="str">
        <f>IFERROR(INDEX(V!$R:$R,MATCH(AJ7,V!$L:$L,0)),"")</f>
        <v/>
      </c>
      <c r="AJ7" s="419" t="str">
        <f t="shared" ref="AJ7:AJ16" si="7">IFERROR(MID($B7,FIND("^",SUBSTITUTE($B7,", ","^",1))+2,FIND("^",SUBSTITUTE($B7,", ","^",2))-FIND("^",SUBSTITUTE($B7,", ","^",1))-2),"")</f>
        <v/>
      </c>
      <c r="AK7" s="418" t="str">
        <f>IFERROR(INDEX(V!$R:$R,MATCH(AL7,V!$L:$L,0)),"")</f>
        <v/>
      </c>
      <c r="AL7" s="419" t="str">
        <f t="shared" ref="AL7:AL16" si="8">IFERROR(MID($B7,FIND(", ",$B7,FIND(", ",$B7,FIND(", ",$B7))+1)+2,30000),"")</f>
        <v/>
      </c>
      <c r="AM7" s="418" t="str">
        <f>IFERROR(INDEX(V!$R:$R,MATCH(AN7,V!$L:$L,0)),"")</f>
        <v/>
      </c>
      <c r="AN7" s="419" t="str">
        <f t="shared" ref="AN7:AN16" si="9">IFERROR(MID($B7,FIND(", ",$B7,FIND(", ",$B7)+1)+2,FIND(", ",$B7,FIND(", ",$B7,FIND(", ",$B7)+1)+1)-FIND(", ",$B7,FIND(", ",$B7)+1)-2),"")</f>
        <v/>
      </c>
      <c r="AO7" s="418" t="str">
        <f>IFERROR(INDEX(V!$R:$R,MATCH(AP7,V!$L:$L,0)),"")</f>
        <v/>
      </c>
      <c r="AP7" s="419" t="str">
        <f t="shared" ref="AP7:AP16" si="10">IFERROR(MID($B7,FIND(", ",$B7,FIND(", ",$B7,FIND(", ",$B7)+1)+1)+2,30000),"")</f>
        <v/>
      </c>
    </row>
    <row r="8" spans="1:42" x14ac:dyDescent="0.2">
      <c r="A8" s="408">
        <v>2</v>
      </c>
      <c r="B8" s="420" t="s">
        <v>323</v>
      </c>
      <c r="C8" s="410">
        <v>13</v>
      </c>
      <c r="D8" s="411" t="s">
        <v>313</v>
      </c>
      <c r="E8" s="411">
        <v>4</v>
      </c>
      <c r="F8" s="412" t="s">
        <v>406</v>
      </c>
      <c r="G8" s="410">
        <v>13</v>
      </c>
      <c r="H8" s="411" t="s">
        <v>313</v>
      </c>
      <c r="I8" s="411">
        <v>11</v>
      </c>
      <c r="J8" s="412" t="s">
        <v>447</v>
      </c>
      <c r="K8" s="410">
        <v>10</v>
      </c>
      <c r="L8" s="411" t="s">
        <v>313</v>
      </c>
      <c r="M8" s="411">
        <v>13</v>
      </c>
      <c r="N8" s="412" t="s">
        <v>445</v>
      </c>
      <c r="O8" s="410">
        <v>13</v>
      </c>
      <c r="P8" s="411" t="s">
        <v>313</v>
      </c>
      <c r="Q8" s="411">
        <v>7</v>
      </c>
      <c r="R8" s="412" t="s">
        <v>446</v>
      </c>
      <c r="S8" s="410"/>
      <c r="T8" s="411"/>
      <c r="U8" s="411"/>
      <c r="V8" s="412"/>
      <c r="W8" s="413">
        <f t="shared" si="0"/>
        <v>3</v>
      </c>
      <c r="X8" s="414">
        <v>20</v>
      </c>
      <c r="Y8" s="414">
        <v>68</v>
      </c>
      <c r="Z8" s="410">
        <f t="shared" si="1"/>
        <v>49</v>
      </c>
      <c r="AA8" s="411" t="s">
        <v>313</v>
      </c>
      <c r="AB8" s="415">
        <f t="shared" si="2"/>
        <v>35</v>
      </c>
      <c r="AC8" s="416">
        <f t="shared" si="3"/>
        <v>14</v>
      </c>
      <c r="AD8" s="417">
        <f t="shared" si="4"/>
        <v>308</v>
      </c>
      <c r="AE8" s="418">
        <f>IFERROR(INDEX(V!$R:$R,MATCH(AF8,V!$L:$L,0)),"")</f>
        <v>154</v>
      </c>
      <c r="AF8" s="419" t="str">
        <f t="shared" si="5"/>
        <v>Kristel Tihhonjuk</v>
      </c>
      <c r="AG8" s="418">
        <f>IFERROR(INDEX(V!$R:$R,MATCH(AH8,V!$L:$L,0)),"")</f>
        <v>154</v>
      </c>
      <c r="AH8" s="419" t="str">
        <f t="shared" si="6"/>
        <v>Vadim Tihhonjuk</v>
      </c>
      <c r="AI8" s="418" t="str">
        <f>IFERROR(INDEX(V!$R:$R,MATCH(AJ8,V!$L:$L,0)),"")</f>
        <v/>
      </c>
      <c r="AJ8" s="419" t="str">
        <f t="shared" si="7"/>
        <v/>
      </c>
      <c r="AK8" s="418" t="str">
        <f>IFERROR(INDEX(V!$R:$R,MATCH(AL8,V!$L:$L,0)),"")</f>
        <v/>
      </c>
      <c r="AL8" s="419" t="str">
        <f t="shared" si="8"/>
        <v/>
      </c>
      <c r="AM8" s="418" t="str">
        <f>IFERROR(INDEX(V!$R:$R,MATCH(AN8,V!$L:$L,0)),"")</f>
        <v/>
      </c>
      <c r="AN8" s="419" t="str">
        <f t="shared" si="9"/>
        <v/>
      </c>
      <c r="AO8" s="418" t="str">
        <f>IFERROR(INDEX(V!$R:$R,MATCH(AP8,V!$L:$L,0)),"")</f>
        <v/>
      </c>
      <c r="AP8" s="419" t="str">
        <f t="shared" si="10"/>
        <v/>
      </c>
    </row>
    <row r="9" spans="1:42" ht="25.5" x14ac:dyDescent="0.2">
      <c r="A9" s="408">
        <v>3</v>
      </c>
      <c r="B9" s="421" t="s">
        <v>441</v>
      </c>
      <c r="C9" s="410">
        <v>5</v>
      </c>
      <c r="D9" s="411" t="s">
        <v>313</v>
      </c>
      <c r="E9" s="411">
        <v>13</v>
      </c>
      <c r="F9" s="412" t="s">
        <v>394</v>
      </c>
      <c r="G9" s="410">
        <v>13</v>
      </c>
      <c r="H9" s="411" t="s">
        <v>313</v>
      </c>
      <c r="I9" s="411">
        <v>4</v>
      </c>
      <c r="J9" s="412" t="s">
        <v>386</v>
      </c>
      <c r="K9" s="410">
        <v>13</v>
      </c>
      <c r="L9" s="411" t="s">
        <v>313</v>
      </c>
      <c r="M9" s="411">
        <v>1</v>
      </c>
      <c r="N9" s="412" t="s">
        <v>406</v>
      </c>
      <c r="O9" s="410">
        <v>13</v>
      </c>
      <c r="P9" s="411" t="s">
        <v>313</v>
      </c>
      <c r="Q9" s="411">
        <v>6</v>
      </c>
      <c r="R9" s="412" t="s">
        <v>425</v>
      </c>
      <c r="S9" s="410"/>
      <c r="T9" s="411"/>
      <c r="U9" s="411"/>
      <c r="V9" s="412"/>
      <c r="W9" s="413">
        <f t="shared" si="0"/>
        <v>3</v>
      </c>
      <c r="X9" s="414">
        <v>12</v>
      </c>
      <c r="Y9" s="414">
        <v>62</v>
      </c>
      <c r="Z9" s="410">
        <f t="shared" si="1"/>
        <v>44</v>
      </c>
      <c r="AA9" s="411" t="s">
        <v>313</v>
      </c>
      <c r="AB9" s="415">
        <f t="shared" si="2"/>
        <v>24</v>
      </c>
      <c r="AC9" s="416">
        <f t="shared" si="3"/>
        <v>20</v>
      </c>
      <c r="AD9" s="417">
        <f t="shared" si="4"/>
        <v>440</v>
      </c>
      <c r="AE9" s="418">
        <f>IFERROR(INDEX(V!$R:$R,MATCH(AF9,V!$L:$L,0)),"")</f>
        <v>234</v>
      </c>
      <c r="AF9" s="419" t="str">
        <f t="shared" si="5"/>
        <v>Kenneth Muusikus</v>
      </c>
      <c r="AG9" s="418" t="str">
        <f>IFERROR(INDEX(V!$R:$R,MATCH(AH9,V!$L:$L,0)),"")</f>
        <v/>
      </c>
      <c r="AH9" s="419" t="str">
        <f t="shared" si="6"/>
        <v>Oliver Ojasalu, Tõnis Neiland</v>
      </c>
      <c r="AI9" s="418">
        <f>IFERROR(INDEX(V!$R:$R,MATCH(AJ9,V!$L:$L,0)),"")</f>
        <v>76</v>
      </c>
      <c r="AJ9" s="419" t="str">
        <f t="shared" si="7"/>
        <v>Oliver Ojasalu</v>
      </c>
      <c r="AK9" s="418">
        <f>IFERROR(INDEX(V!$R:$R,MATCH(AL9,V!$L:$L,0)),"")</f>
        <v>130</v>
      </c>
      <c r="AL9" s="419" t="str">
        <f t="shared" si="8"/>
        <v>Tõnis Neiland</v>
      </c>
      <c r="AM9" s="418" t="str">
        <f>IFERROR(INDEX(V!$R:$R,MATCH(AN9,V!$L:$L,0)),"")</f>
        <v/>
      </c>
      <c r="AN9" s="419" t="str">
        <f t="shared" si="9"/>
        <v/>
      </c>
      <c r="AO9" s="418" t="str">
        <f>IFERROR(INDEX(V!$R:$R,MATCH(AP9,V!$L:$L,0)),"")</f>
        <v/>
      </c>
      <c r="AP9" s="419" t="str">
        <f t="shared" si="10"/>
        <v/>
      </c>
    </row>
    <row r="10" spans="1:42" ht="25.5" x14ac:dyDescent="0.2">
      <c r="A10" s="408">
        <v>4</v>
      </c>
      <c r="B10" s="421" t="s">
        <v>451</v>
      </c>
      <c r="C10" s="410">
        <v>13</v>
      </c>
      <c r="D10" s="411" t="s">
        <v>313</v>
      </c>
      <c r="E10" s="411">
        <v>4</v>
      </c>
      <c r="F10" s="412" t="s">
        <v>425</v>
      </c>
      <c r="G10" s="410">
        <v>11</v>
      </c>
      <c r="H10" s="411" t="s">
        <v>313</v>
      </c>
      <c r="I10" s="411">
        <v>13</v>
      </c>
      <c r="J10" s="412" t="s">
        <v>323</v>
      </c>
      <c r="K10" s="410">
        <v>13</v>
      </c>
      <c r="L10" s="411" t="s">
        <v>313</v>
      </c>
      <c r="M10" s="411">
        <v>4</v>
      </c>
      <c r="N10" s="412" t="s">
        <v>394</v>
      </c>
      <c r="O10" s="410">
        <v>1</v>
      </c>
      <c r="P10" s="411" t="s">
        <v>313</v>
      </c>
      <c r="Q10" s="411">
        <v>13</v>
      </c>
      <c r="R10" s="412" t="s">
        <v>445</v>
      </c>
      <c r="S10" s="410"/>
      <c r="T10" s="411"/>
      <c r="U10" s="411"/>
      <c r="V10" s="412"/>
      <c r="W10" s="413">
        <f t="shared" si="0"/>
        <v>2</v>
      </c>
      <c r="X10" s="414">
        <v>20</v>
      </c>
      <c r="Y10" s="414">
        <v>72</v>
      </c>
      <c r="Z10" s="410">
        <f t="shared" si="1"/>
        <v>38</v>
      </c>
      <c r="AA10" s="411" t="s">
        <v>313</v>
      </c>
      <c r="AB10" s="415">
        <f t="shared" si="2"/>
        <v>34</v>
      </c>
      <c r="AC10" s="416">
        <f t="shared" si="3"/>
        <v>4</v>
      </c>
      <c r="AD10" s="417">
        <f t="shared" si="4"/>
        <v>488</v>
      </c>
      <c r="AE10" s="418">
        <f>IFERROR(INDEX(V!$R:$R,MATCH(AF10,V!$L:$L,0)),"")</f>
        <v>156</v>
      </c>
      <c r="AF10" s="419" t="str">
        <f t="shared" si="5"/>
        <v>Aleksander Korikov</v>
      </c>
      <c r="AG10" s="418" t="str">
        <f>IFERROR(INDEX(V!$R:$R,MATCH(AH10,V!$L:$L,0)),"")</f>
        <v/>
      </c>
      <c r="AH10" s="419" t="str">
        <f t="shared" si="6"/>
        <v>Oleg Rõndenkov, Sander Rose</v>
      </c>
      <c r="AI10" s="418">
        <f>IFERROR(INDEX(V!$R:$R,MATCH(AJ10,V!$L:$L,0)),"")</f>
        <v>166</v>
      </c>
      <c r="AJ10" s="419" t="str">
        <f t="shared" si="7"/>
        <v>Oleg Rõndenkov</v>
      </c>
      <c r="AK10" s="418">
        <f>IFERROR(INDEX(V!$R:$R,MATCH(AL10,V!$L:$L,0)),"")</f>
        <v>166</v>
      </c>
      <c r="AL10" s="419" t="str">
        <f t="shared" si="8"/>
        <v>Sander Rose</v>
      </c>
      <c r="AM10" s="418" t="str">
        <f>IFERROR(INDEX(V!$R:$R,MATCH(AN10,V!$L:$L,0)),"")</f>
        <v/>
      </c>
      <c r="AN10" s="419" t="str">
        <f t="shared" si="9"/>
        <v/>
      </c>
      <c r="AO10" s="418" t="str">
        <f>IFERROR(INDEX(V!$R:$R,MATCH(AP10,V!$L:$L,0)),"")</f>
        <v/>
      </c>
      <c r="AP10" s="419" t="str">
        <f t="shared" si="10"/>
        <v/>
      </c>
    </row>
    <row r="11" spans="1:42" x14ac:dyDescent="0.2">
      <c r="A11" s="408">
        <v>5</v>
      </c>
      <c r="B11" s="420" t="s">
        <v>394</v>
      </c>
      <c r="C11" s="410">
        <v>13</v>
      </c>
      <c r="D11" s="411" t="s">
        <v>313</v>
      </c>
      <c r="E11" s="411">
        <v>5</v>
      </c>
      <c r="F11" s="412" t="s">
        <v>441</v>
      </c>
      <c r="G11" s="410">
        <v>4</v>
      </c>
      <c r="H11" s="411" t="s">
        <v>313</v>
      </c>
      <c r="I11" s="411">
        <v>13</v>
      </c>
      <c r="J11" s="412" t="s">
        <v>445</v>
      </c>
      <c r="K11" s="410">
        <v>4</v>
      </c>
      <c r="L11" s="411" t="s">
        <v>313</v>
      </c>
      <c r="M11" s="411">
        <v>13</v>
      </c>
      <c r="N11" s="412" t="s">
        <v>447</v>
      </c>
      <c r="O11" s="410">
        <v>13</v>
      </c>
      <c r="P11" s="411" t="s">
        <v>313</v>
      </c>
      <c r="Q11" s="411">
        <v>5</v>
      </c>
      <c r="R11" s="412" t="s">
        <v>386</v>
      </c>
      <c r="S11" s="410"/>
      <c r="T11" s="411"/>
      <c r="U11" s="411"/>
      <c r="V11" s="412"/>
      <c r="W11" s="413">
        <f t="shared" si="0"/>
        <v>2</v>
      </c>
      <c r="X11" s="414">
        <v>20</v>
      </c>
      <c r="Y11" s="414">
        <v>64</v>
      </c>
      <c r="Z11" s="410">
        <f t="shared" si="1"/>
        <v>34</v>
      </c>
      <c r="AA11" s="411" t="s">
        <v>313</v>
      </c>
      <c r="AB11" s="415">
        <f t="shared" si="2"/>
        <v>36</v>
      </c>
      <c r="AC11" s="416">
        <f t="shared" si="3"/>
        <v>-2</v>
      </c>
      <c r="AD11" s="417">
        <f t="shared" ref="AD11:AD13" si="11">SUM(AE11:AL11)</f>
        <v>176</v>
      </c>
      <c r="AE11" s="418">
        <f>IFERROR(INDEX(V!$R:$R,MATCH(AF11,V!$L:$L,0)),"")</f>
        <v>62</v>
      </c>
      <c r="AF11" s="419" t="str">
        <f t="shared" si="5"/>
        <v>Boriss Klubov</v>
      </c>
      <c r="AG11" s="418">
        <f>IFERROR(INDEX(V!$R:$R,MATCH(AH11,V!$L:$L,0)),"")</f>
        <v>114</v>
      </c>
      <c r="AH11" s="419" t="str">
        <f t="shared" si="6"/>
        <v>Elmo Lageda</v>
      </c>
      <c r="AI11" s="418" t="str">
        <f>IFERROR(INDEX(V!$R:$R,MATCH(AJ11,V!$L:$L,0)),"")</f>
        <v/>
      </c>
      <c r="AJ11" s="419" t="str">
        <f t="shared" si="7"/>
        <v/>
      </c>
      <c r="AK11" s="418" t="str">
        <f>IFERROR(INDEX(V!$R:$R,MATCH(AL11,V!$L:$L,0)),"")</f>
        <v/>
      </c>
      <c r="AL11" s="419" t="str">
        <f t="shared" si="8"/>
        <v/>
      </c>
      <c r="AM11" s="418" t="str">
        <f>IFERROR(INDEX(V!$R:$R,MATCH(AN11,V!$L:$L,0)),"")</f>
        <v/>
      </c>
      <c r="AN11" s="419" t="str">
        <f t="shared" si="9"/>
        <v/>
      </c>
      <c r="AO11" s="418" t="str">
        <f>IFERROR(INDEX(V!$R:$R,MATCH(AP11,V!$L:$L,0)),"")</f>
        <v/>
      </c>
      <c r="AP11" s="419" t="str">
        <f t="shared" si="10"/>
        <v/>
      </c>
    </row>
    <row r="12" spans="1:42" x14ac:dyDescent="0.2">
      <c r="A12" s="408">
        <v>6</v>
      </c>
      <c r="B12" s="421" t="s">
        <v>446</v>
      </c>
      <c r="C12" s="410">
        <v>5</v>
      </c>
      <c r="D12" s="411" t="s">
        <v>313</v>
      </c>
      <c r="E12" s="411">
        <v>13</v>
      </c>
      <c r="F12" s="412" t="s">
        <v>445</v>
      </c>
      <c r="G12" s="410">
        <v>13</v>
      </c>
      <c r="H12" s="411" t="s">
        <v>313</v>
      </c>
      <c r="I12" s="411">
        <v>10</v>
      </c>
      <c r="J12" s="412" t="s">
        <v>448</v>
      </c>
      <c r="K12" s="410">
        <v>13</v>
      </c>
      <c r="L12" s="411" t="s">
        <v>313</v>
      </c>
      <c r="M12" s="411">
        <v>11</v>
      </c>
      <c r="N12" s="412" t="s">
        <v>386</v>
      </c>
      <c r="O12" s="410">
        <v>7</v>
      </c>
      <c r="P12" s="411" t="s">
        <v>313</v>
      </c>
      <c r="Q12" s="411">
        <v>13</v>
      </c>
      <c r="R12" s="412" t="s">
        <v>323</v>
      </c>
      <c r="S12" s="410"/>
      <c r="T12" s="411"/>
      <c r="U12" s="411"/>
      <c r="V12" s="412"/>
      <c r="W12" s="413">
        <f t="shared" si="0"/>
        <v>2</v>
      </c>
      <c r="X12" s="414">
        <v>16</v>
      </c>
      <c r="Y12" s="414">
        <v>64</v>
      </c>
      <c r="Z12" s="410">
        <f t="shared" si="1"/>
        <v>38</v>
      </c>
      <c r="AA12" s="411" t="s">
        <v>313</v>
      </c>
      <c r="AB12" s="415">
        <f t="shared" si="2"/>
        <v>47</v>
      </c>
      <c r="AC12" s="416">
        <f t="shared" si="3"/>
        <v>-9</v>
      </c>
      <c r="AD12" s="417">
        <f t="shared" si="11"/>
        <v>206</v>
      </c>
      <c r="AE12" s="418">
        <f>IFERROR(INDEX(V!$R:$R,MATCH(AF12,V!$L:$L,0)),"")</f>
        <v>152</v>
      </c>
      <c r="AF12" s="419" t="str">
        <f t="shared" si="5"/>
        <v>Andrei Grintšak</v>
      </c>
      <c r="AG12" s="418">
        <f>IFERROR(INDEX(V!$R:$R,MATCH(AH12,V!$L:$L,0)),"")</f>
        <v>54</v>
      </c>
      <c r="AH12" s="419" t="str">
        <f t="shared" si="6"/>
        <v>Hillar Neiland</v>
      </c>
      <c r="AI12" s="418" t="str">
        <f>IFERROR(INDEX(V!$R:$R,MATCH(AJ12,V!$L:$L,0)),"")</f>
        <v/>
      </c>
      <c r="AJ12" s="419" t="str">
        <f t="shared" si="7"/>
        <v/>
      </c>
      <c r="AK12" s="418" t="str">
        <f>IFERROR(INDEX(V!$R:$R,MATCH(AL12,V!$L:$L,0)),"")</f>
        <v/>
      </c>
      <c r="AL12" s="419" t="str">
        <f t="shared" si="8"/>
        <v/>
      </c>
      <c r="AM12" s="418" t="str">
        <f>IFERROR(INDEX(V!$R:$R,MATCH(AN12,V!$L:$L,0)),"")</f>
        <v/>
      </c>
      <c r="AN12" s="419" t="str">
        <f t="shared" si="9"/>
        <v/>
      </c>
      <c r="AO12" s="418" t="str">
        <f>IFERROR(INDEX(V!$R:$R,MATCH(AP12,V!$L:$L,0)),"")</f>
        <v/>
      </c>
      <c r="AP12" s="419" t="str">
        <f t="shared" si="10"/>
        <v/>
      </c>
    </row>
    <row r="13" spans="1:42" x14ac:dyDescent="0.2">
      <c r="A13" s="408">
        <v>7</v>
      </c>
      <c r="B13" s="422" t="s">
        <v>406</v>
      </c>
      <c r="C13" s="410">
        <v>4</v>
      </c>
      <c r="D13" s="411" t="s">
        <v>313</v>
      </c>
      <c r="E13" s="411">
        <v>13</v>
      </c>
      <c r="F13" s="412" t="s">
        <v>323</v>
      </c>
      <c r="G13" s="410">
        <v>13</v>
      </c>
      <c r="H13" s="411" t="s">
        <v>313</v>
      </c>
      <c r="I13" s="411">
        <v>6</v>
      </c>
      <c r="J13" s="412" t="s">
        <v>425</v>
      </c>
      <c r="K13" s="410">
        <v>1</v>
      </c>
      <c r="L13" s="411" t="s">
        <v>313</v>
      </c>
      <c r="M13" s="411">
        <v>13</v>
      </c>
      <c r="N13" s="412" t="s">
        <v>441</v>
      </c>
      <c r="O13" s="410">
        <v>13</v>
      </c>
      <c r="P13" s="411" t="s">
        <v>313</v>
      </c>
      <c r="Q13" s="411">
        <v>8</v>
      </c>
      <c r="R13" s="412" t="s">
        <v>448</v>
      </c>
      <c r="S13" s="410"/>
      <c r="T13" s="411"/>
      <c r="U13" s="411"/>
      <c r="V13" s="412"/>
      <c r="W13" s="413">
        <f t="shared" si="0"/>
        <v>2</v>
      </c>
      <c r="X13" s="414">
        <v>14</v>
      </c>
      <c r="Y13" s="414">
        <v>58</v>
      </c>
      <c r="Z13" s="410">
        <f t="shared" si="1"/>
        <v>31</v>
      </c>
      <c r="AA13" s="411" t="s">
        <v>313</v>
      </c>
      <c r="AB13" s="415">
        <f t="shared" si="2"/>
        <v>40</v>
      </c>
      <c r="AC13" s="416">
        <f t="shared" si="3"/>
        <v>-9</v>
      </c>
      <c r="AD13" s="417">
        <f t="shared" si="11"/>
        <v>234</v>
      </c>
      <c r="AE13" s="418">
        <f>IFERROR(INDEX(V!$R:$R,MATCH(AF13,V!$L:$L,0)),"")</f>
        <v>132</v>
      </c>
      <c r="AF13" s="419" t="str">
        <f t="shared" si="5"/>
        <v>Andres Veski</v>
      </c>
      <c r="AG13" s="418">
        <f>IFERROR(INDEX(V!$R:$R,MATCH(AH13,V!$L:$L,0)),"")</f>
        <v>102</v>
      </c>
      <c r="AH13" s="419" t="str">
        <f t="shared" si="6"/>
        <v>Svetlana Veski</v>
      </c>
      <c r="AI13" s="418" t="str">
        <f>IFERROR(INDEX(V!$R:$R,MATCH(AJ13,V!$L:$L,0)),"")</f>
        <v/>
      </c>
      <c r="AJ13" s="419" t="str">
        <f t="shared" si="7"/>
        <v/>
      </c>
      <c r="AK13" s="418" t="str">
        <f>IFERROR(INDEX(V!$R:$R,MATCH(AL13,V!$L:$L,0)),"")</f>
        <v/>
      </c>
      <c r="AL13" s="419" t="str">
        <f t="shared" si="8"/>
        <v/>
      </c>
      <c r="AM13" s="418" t="str">
        <f>IFERROR(INDEX(V!$R:$R,MATCH(AN13,V!$L:$L,0)),"")</f>
        <v/>
      </c>
      <c r="AN13" s="419" t="str">
        <f t="shared" si="9"/>
        <v/>
      </c>
      <c r="AO13" s="418" t="str">
        <f>IFERROR(INDEX(V!$R:$R,MATCH(AP13,V!$L:$L,0)),"")</f>
        <v/>
      </c>
      <c r="AP13" s="419" t="str">
        <f t="shared" si="10"/>
        <v/>
      </c>
    </row>
    <row r="14" spans="1:42" x14ac:dyDescent="0.2">
      <c r="A14" s="408">
        <v>8</v>
      </c>
      <c r="B14" s="422" t="s">
        <v>386</v>
      </c>
      <c r="C14" s="410">
        <v>13</v>
      </c>
      <c r="D14" s="411" t="s">
        <v>313</v>
      </c>
      <c r="E14" s="411">
        <v>6</v>
      </c>
      <c r="F14" s="412" t="s">
        <v>448</v>
      </c>
      <c r="G14" s="410">
        <v>4</v>
      </c>
      <c r="H14" s="411" t="s">
        <v>313</v>
      </c>
      <c r="I14" s="411">
        <v>13</v>
      </c>
      <c r="J14" s="412" t="s">
        <v>441</v>
      </c>
      <c r="K14" s="410">
        <v>11</v>
      </c>
      <c r="L14" s="411" t="s">
        <v>313</v>
      </c>
      <c r="M14" s="411">
        <v>13</v>
      </c>
      <c r="N14" s="412" t="s">
        <v>446</v>
      </c>
      <c r="O14" s="410">
        <v>5</v>
      </c>
      <c r="P14" s="411" t="s">
        <v>313</v>
      </c>
      <c r="Q14" s="411">
        <v>13</v>
      </c>
      <c r="R14" s="412" t="s">
        <v>394</v>
      </c>
      <c r="S14" s="410"/>
      <c r="T14" s="411"/>
      <c r="U14" s="411"/>
      <c r="V14" s="412"/>
      <c r="W14" s="413">
        <f t="shared" si="0"/>
        <v>1</v>
      </c>
      <c r="X14" s="414">
        <v>14</v>
      </c>
      <c r="Y14" s="414">
        <v>60</v>
      </c>
      <c r="Z14" s="410">
        <f t="shared" si="1"/>
        <v>33</v>
      </c>
      <c r="AA14" s="411" t="s">
        <v>313</v>
      </c>
      <c r="AB14" s="415">
        <f t="shared" si="2"/>
        <v>45</v>
      </c>
      <c r="AC14" s="416">
        <f t="shared" si="3"/>
        <v>-12</v>
      </c>
      <c r="AD14" s="417">
        <f t="shared" ref="AD14:AD15" si="12">SUM(AE14:AL14)</f>
        <v>208</v>
      </c>
      <c r="AE14" s="418">
        <f>IFERROR(INDEX(V!$R:$R,MATCH(AF14,V!$L:$L,0)),"")</f>
        <v>116</v>
      </c>
      <c r="AF14" s="419" t="str">
        <f t="shared" si="5"/>
        <v>Jaan Saar</v>
      </c>
      <c r="AG14" s="418">
        <f>IFERROR(INDEX(V!$R:$R,MATCH(AH14,V!$L:$L,0)),"")</f>
        <v>92</v>
      </c>
      <c r="AH14" s="419" t="str">
        <f t="shared" si="6"/>
        <v>Liidia Põllu</v>
      </c>
      <c r="AI14" s="418" t="str">
        <f>IFERROR(INDEX(V!$R:$R,MATCH(AJ14,V!$L:$L,0)),"")</f>
        <v/>
      </c>
      <c r="AJ14" s="419" t="str">
        <f t="shared" si="7"/>
        <v/>
      </c>
      <c r="AK14" s="418" t="str">
        <f>IFERROR(INDEX(V!$R:$R,MATCH(AL14,V!$L:$L,0)),"")</f>
        <v/>
      </c>
      <c r="AL14" s="419" t="str">
        <f t="shared" si="8"/>
        <v/>
      </c>
      <c r="AM14" s="418" t="str">
        <f>IFERROR(INDEX(V!$R:$R,MATCH(AN14,V!$L:$L,0)),"")</f>
        <v/>
      </c>
      <c r="AN14" s="419" t="str">
        <f t="shared" si="9"/>
        <v/>
      </c>
      <c r="AO14" s="418" t="str">
        <f>IFERROR(INDEX(V!$R:$R,MATCH(AP14,V!$L:$L,0)),"")</f>
        <v/>
      </c>
      <c r="AP14" s="419" t="str">
        <f t="shared" si="10"/>
        <v/>
      </c>
    </row>
    <row r="15" spans="1:42" x14ac:dyDescent="0.2">
      <c r="A15" s="408">
        <v>9</v>
      </c>
      <c r="B15" s="421" t="s">
        <v>425</v>
      </c>
      <c r="C15" s="410">
        <v>4</v>
      </c>
      <c r="D15" s="411" t="s">
        <v>313</v>
      </c>
      <c r="E15" s="411">
        <v>13</v>
      </c>
      <c r="F15" s="412" t="s">
        <v>447</v>
      </c>
      <c r="G15" s="410">
        <v>6</v>
      </c>
      <c r="H15" s="411" t="s">
        <v>313</v>
      </c>
      <c r="I15" s="411">
        <v>13</v>
      </c>
      <c r="J15" s="412" t="s">
        <v>406</v>
      </c>
      <c r="K15" s="410">
        <v>13</v>
      </c>
      <c r="L15" s="411" t="s">
        <v>313</v>
      </c>
      <c r="M15" s="411">
        <v>2</v>
      </c>
      <c r="N15" s="412" t="s">
        <v>448</v>
      </c>
      <c r="O15" s="410">
        <v>6</v>
      </c>
      <c r="P15" s="411" t="s">
        <v>313</v>
      </c>
      <c r="Q15" s="411">
        <v>13</v>
      </c>
      <c r="R15" s="412" t="s">
        <v>441</v>
      </c>
      <c r="S15" s="410"/>
      <c r="T15" s="411"/>
      <c r="U15" s="411"/>
      <c r="V15" s="412"/>
      <c r="W15" s="413">
        <f t="shared" si="0"/>
        <v>1</v>
      </c>
      <c r="X15" s="414">
        <v>14</v>
      </c>
      <c r="Y15" s="414">
        <v>58</v>
      </c>
      <c r="Z15" s="410">
        <f t="shared" si="1"/>
        <v>29</v>
      </c>
      <c r="AA15" s="411" t="s">
        <v>313</v>
      </c>
      <c r="AB15" s="415">
        <f t="shared" si="2"/>
        <v>41</v>
      </c>
      <c r="AC15" s="416">
        <f t="shared" si="3"/>
        <v>-12</v>
      </c>
      <c r="AD15" s="417">
        <f t="shared" si="12"/>
        <v>190</v>
      </c>
      <c r="AE15" s="418">
        <f>IFERROR(INDEX(V!$R:$R,MATCH(AF15,V!$L:$L,0)),"")</f>
        <v>108</v>
      </c>
      <c r="AF15" s="419" t="str">
        <f t="shared" si="5"/>
        <v>Marko Rooden</v>
      </c>
      <c r="AG15" s="418">
        <f>IFERROR(INDEX(V!$R:$R,MATCH(AH15,V!$L:$L,0)),"")</f>
        <v>82</v>
      </c>
      <c r="AH15" s="419" t="str">
        <f t="shared" si="6"/>
        <v>Martin Kuusmann</v>
      </c>
      <c r="AI15" s="418" t="str">
        <f>IFERROR(INDEX(V!$R:$R,MATCH(AJ15,V!$L:$L,0)),"")</f>
        <v/>
      </c>
      <c r="AJ15" s="419" t="str">
        <f t="shared" si="7"/>
        <v/>
      </c>
      <c r="AK15" s="418" t="str">
        <f>IFERROR(INDEX(V!$R:$R,MATCH(AL15,V!$L:$L,0)),"")</f>
        <v/>
      </c>
      <c r="AL15" s="419" t="str">
        <f t="shared" si="8"/>
        <v/>
      </c>
      <c r="AM15" s="418" t="str">
        <f>IFERROR(INDEX(V!$R:$R,MATCH(AN15,V!$L:$L,0)),"")</f>
        <v/>
      </c>
      <c r="AN15" s="419" t="str">
        <f t="shared" si="9"/>
        <v/>
      </c>
      <c r="AO15" s="418" t="str">
        <f>IFERROR(INDEX(V!$R:$R,MATCH(AP15,V!$L:$L,0)),"")</f>
        <v/>
      </c>
      <c r="AP15" s="419" t="str">
        <f t="shared" si="10"/>
        <v/>
      </c>
    </row>
    <row r="16" spans="1:42" x14ac:dyDescent="0.2">
      <c r="A16" s="408">
        <v>10</v>
      </c>
      <c r="B16" s="422" t="s">
        <v>459</v>
      </c>
      <c r="C16" s="410">
        <v>6</v>
      </c>
      <c r="D16" s="411" t="s">
        <v>313</v>
      </c>
      <c r="E16" s="411">
        <v>13</v>
      </c>
      <c r="F16" s="412" t="s">
        <v>386</v>
      </c>
      <c r="G16" s="410">
        <v>10</v>
      </c>
      <c r="H16" s="411" t="s">
        <v>313</v>
      </c>
      <c r="I16" s="411">
        <v>13</v>
      </c>
      <c r="J16" s="412" t="s">
        <v>446</v>
      </c>
      <c r="K16" s="410">
        <v>2</v>
      </c>
      <c r="L16" s="411" t="s">
        <v>313</v>
      </c>
      <c r="M16" s="411">
        <v>13</v>
      </c>
      <c r="N16" s="412" t="s">
        <v>425</v>
      </c>
      <c r="O16" s="410">
        <v>8</v>
      </c>
      <c r="P16" s="411" t="s">
        <v>313</v>
      </c>
      <c r="Q16" s="411">
        <v>13</v>
      </c>
      <c r="R16" s="412" t="s">
        <v>406</v>
      </c>
      <c r="S16" s="410"/>
      <c r="T16" s="411"/>
      <c r="U16" s="411"/>
      <c r="V16" s="412"/>
      <c r="W16" s="413">
        <f t="shared" si="0"/>
        <v>0</v>
      </c>
      <c r="X16" s="414">
        <v>12</v>
      </c>
      <c r="Y16" s="414">
        <v>58</v>
      </c>
      <c r="Z16" s="410">
        <f t="shared" si="1"/>
        <v>26</v>
      </c>
      <c r="AA16" s="411" t="s">
        <v>313</v>
      </c>
      <c r="AB16" s="415">
        <f t="shared" si="2"/>
        <v>52</v>
      </c>
      <c r="AC16" s="416">
        <f t="shared" si="3"/>
        <v>-26</v>
      </c>
      <c r="AD16" s="417">
        <f t="shared" ref="AD16" si="13">SUM(AE16:AL16)</f>
        <v>108</v>
      </c>
      <c r="AE16" s="418">
        <f>IFERROR(INDEX(V!$R:$R,MATCH(AF16,V!$L:$L,0)),"")</f>
        <v>94</v>
      </c>
      <c r="AF16" s="419" t="str">
        <f t="shared" si="5"/>
        <v>Johannes Neiland</v>
      </c>
      <c r="AG16" s="418">
        <f>IFERROR(INDEX(V!$R:$R,MATCH(AH16,V!$L:$L,0)),"")</f>
        <v>14</v>
      </c>
      <c r="AH16" s="419" t="str">
        <f t="shared" si="6"/>
        <v>Veronika Pirk</v>
      </c>
      <c r="AI16" s="418" t="str">
        <f>IFERROR(INDEX(V!$R:$R,MATCH(AJ16,V!$L:$L,0)),"")</f>
        <v/>
      </c>
      <c r="AJ16" s="419" t="str">
        <f t="shared" si="7"/>
        <v/>
      </c>
      <c r="AK16" s="418" t="str">
        <f>IFERROR(INDEX(V!$R:$R,MATCH(AL16,V!$L:$L,0)),"")</f>
        <v/>
      </c>
      <c r="AL16" s="419" t="str">
        <f t="shared" si="8"/>
        <v/>
      </c>
      <c r="AM16" s="418" t="str">
        <f>IFERROR(INDEX(V!$R:$R,MATCH(AN16,V!$L:$L,0)),"")</f>
        <v/>
      </c>
      <c r="AN16" s="419" t="str">
        <f t="shared" si="9"/>
        <v/>
      </c>
      <c r="AO16" s="418" t="str">
        <f>IFERROR(INDEX(V!$R:$R,MATCH(AP16,V!$L:$L,0)),"")</f>
        <v/>
      </c>
      <c r="AP16" s="419" t="str">
        <f t="shared" si="10"/>
        <v/>
      </c>
    </row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6" hidden="1" x14ac:dyDescent="0.2"/>
    <row r="290" spans="1:6" hidden="1" x14ac:dyDescent="0.2"/>
    <row r="291" spans="1:6" hidden="1" x14ac:dyDescent="0.2"/>
    <row r="292" spans="1:6" hidden="1" x14ac:dyDescent="0.2"/>
    <row r="293" spans="1:6" hidden="1" x14ac:dyDescent="0.2"/>
    <row r="294" spans="1:6" hidden="1" x14ac:dyDescent="0.2"/>
    <row r="295" spans="1:6" hidden="1" x14ac:dyDescent="0.2"/>
    <row r="296" spans="1:6" hidden="1" x14ac:dyDescent="0.2"/>
    <row r="297" spans="1:6" hidden="1" x14ac:dyDescent="0.2"/>
    <row r="298" spans="1:6" hidden="1" x14ac:dyDescent="0.2"/>
    <row r="299" spans="1:6" x14ac:dyDescent="0.2">
      <c r="A299" s="378"/>
      <c r="B299" s="378"/>
      <c r="C299" s="423" t="s">
        <v>316</v>
      </c>
      <c r="F299" s="424"/>
    </row>
    <row r="300" spans="1:6" x14ac:dyDescent="0.2">
      <c r="A300" s="425">
        <v>1</v>
      </c>
      <c r="B300" s="426" t="str">
        <f t="shared" ref="B300:B309" si="14">IFERROR(INDEX(B$1:B$95,MATCH(A300,A$1:A$95,0)),"")</f>
        <v>Ivar Viljaste, Kaspar Mänd</v>
      </c>
      <c r="C300" s="427">
        <f>LARGE(A300:A400,1)*2+2-A300*2</f>
        <v>20</v>
      </c>
      <c r="F300" s="424"/>
    </row>
    <row r="301" spans="1:6" x14ac:dyDescent="0.2">
      <c r="A301" s="425">
        <v>2</v>
      </c>
      <c r="B301" s="426" t="str">
        <f t="shared" si="14"/>
        <v>Kristel Tihhonjuk, Vadim Tihhonjuk</v>
      </c>
      <c r="C301" s="427">
        <f t="shared" ref="C301:C309" si="15">LARGE(A301:A401,1)*2+2-A301*2</f>
        <v>18</v>
      </c>
      <c r="F301" s="424"/>
    </row>
    <row r="302" spans="1:6" ht="25.5" x14ac:dyDescent="0.2">
      <c r="A302" s="425">
        <v>3</v>
      </c>
      <c r="B302" s="426" t="str">
        <f t="shared" si="14"/>
        <v>Kenneth Muusikus, Oliver Ojasalu, Tõnis Neiland</v>
      </c>
      <c r="C302" s="427">
        <f t="shared" si="15"/>
        <v>16</v>
      </c>
      <c r="F302" s="424"/>
    </row>
    <row r="303" spans="1:6" ht="25.5" x14ac:dyDescent="0.2">
      <c r="A303" s="425">
        <v>4</v>
      </c>
      <c r="B303" s="426" t="str">
        <f t="shared" si="14"/>
        <v>Aleksander Korikov, Oleg Rõndenkov, Sander Rose</v>
      </c>
      <c r="C303" s="427">
        <f t="shared" si="15"/>
        <v>14</v>
      </c>
      <c r="F303" s="424"/>
    </row>
    <row r="304" spans="1:6" x14ac:dyDescent="0.2">
      <c r="A304" s="425">
        <v>5</v>
      </c>
      <c r="B304" s="426" t="str">
        <f t="shared" si="14"/>
        <v>Boriss Klubov, Elmo Lageda</v>
      </c>
      <c r="C304" s="427">
        <f t="shared" si="15"/>
        <v>12</v>
      </c>
      <c r="F304" s="424"/>
    </row>
    <row r="305" spans="1:6" x14ac:dyDescent="0.2">
      <c r="A305" s="425">
        <v>6</v>
      </c>
      <c r="B305" s="426" t="str">
        <f t="shared" si="14"/>
        <v>Andrei Grintšak, Hillar Neiland</v>
      </c>
      <c r="C305" s="427">
        <f t="shared" si="15"/>
        <v>10</v>
      </c>
      <c r="F305" s="424"/>
    </row>
    <row r="306" spans="1:6" x14ac:dyDescent="0.2">
      <c r="A306" s="425">
        <v>7</v>
      </c>
      <c r="B306" s="426" t="str">
        <f t="shared" si="14"/>
        <v>Andres Veski, Svetlana Veski</v>
      </c>
      <c r="C306" s="427">
        <f t="shared" si="15"/>
        <v>8</v>
      </c>
      <c r="F306" s="424"/>
    </row>
    <row r="307" spans="1:6" x14ac:dyDescent="0.2">
      <c r="A307" s="425">
        <v>8</v>
      </c>
      <c r="B307" s="426" t="str">
        <f t="shared" si="14"/>
        <v>Jaan Saar, Liidia Põllu</v>
      </c>
      <c r="C307" s="427">
        <f t="shared" si="15"/>
        <v>6</v>
      </c>
      <c r="F307" s="424"/>
    </row>
    <row r="308" spans="1:6" x14ac:dyDescent="0.2">
      <c r="A308" s="425">
        <v>9</v>
      </c>
      <c r="B308" s="426" t="str">
        <f t="shared" si="14"/>
        <v>Marko Rooden, Martin Kuusmann</v>
      </c>
      <c r="C308" s="427">
        <f t="shared" si="15"/>
        <v>4</v>
      </c>
      <c r="F308" s="424"/>
    </row>
    <row r="309" spans="1:6" x14ac:dyDescent="0.2">
      <c r="A309" s="425">
        <v>10</v>
      </c>
      <c r="B309" s="426" t="str">
        <f t="shared" si="14"/>
        <v>Johannes Neiland, Veronika Pirk</v>
      </c>
      <c r="C309" s="427">
        <f t="shared" si="15"/>
        <v>2</v>
      </c>
    </row>
  </sheetData>
  <conditionalFormatting sqref="AJ7:AJ16 AH7:AH16 AL7:AL16">
    <cfRule type="expression" dxfId="344" priority="36">
      <formula>AND(AG7="",FIND(",",AH7))</formula>
    </cfRule>
    <cfRule type="expression" dxfId="343" priority="38">
      <formula>AND(AG7="",COUNTIF(AH7,"*,*")=0)</formula>
    </cfRule>
  </conditionalFormatting>
  <conditionalFormatting sqref="AF7:AF16">
    <cfRule type="expression" dxfId="342" priority="37">
      <formula>AND(AE7="",COUNTIF(AF7,"*,*")=0)</formula>
    </cfRule>
  </conditionalFormatting>
  <conditionalFormatting sqref="AN7:AN16 AP7:AP16">
    <cfRule type="expression" dxfId="341" priority="34">
      <formula>AND(AM7="",COUNTIF(AN7,"*,*")=0)</formula>
    </cfRule>
    <cfRule type="expression" dxfId="340" priority="35">
      <formula>AND(AM7="",FIND(",",AN7))</formula>
    </cfRule>
  </conditionalFormatting>
  <conditionalFormatting sqref="B300:B309">
    <cfRule type="expression" dxfId="339" priority="39">
      <formula>A300=3</formula>
    </cfRule>
    <cfRule type="expression" dxfId="338" priority="40">
      <formula>A300=2</formula>
    </cfRule>
    <cfRule type="expression" dxfId="337" priority="41">
      <formula>A300=1</formula>
    </cfRule>
    <cfRule type="containsBlanks" dxfId="336" priority="42">
      <formula>LEN(TRIM(B300))=0</formula>
    </cfRule>
    <cfRule type="duplicateValues" dxfId="335" priority="43"/>
  </conditionalFormatting>
  <conditionalFormatting sqref="A7:A16">
    <cfRule type="duplicateValues" dxfId="334" priority="33"/>
  </conditionalFormatting>
  <conditionalFormatting sqref="C7:C16">
    <cfRule type="expression" dxfId="333" priority="15">
      <formula>IF($C7&gt;$E7,TRUE)</formula>
    </cfRule>
  </conditionalFormatting>
  <conditionalFormatting sqref="E7:E16">
    <cfRule type="expression" dxfId="332" priority="16">
      <formula>IF($C7&lt;$E7,TRUE)</formula>
    </cfRule>
  </conditionalFormatting>
  <conditionalFormatting sqref="K7:K16">
    <cfRule type="expression" dxfId="331" priority="23">
      <formula>IF($K7&gt;$M7,TRUE)</formula>
    </cfRule>
  </conditionalFormatting>
  <conditionalFormatting sqref="M7:M16">
    <cfRule type="expression" dxfId="330" priority="24">
      <formula>IF($K7&lt;$M7,TRUE)</formula>
    </cfRule>
  </conditionalFormatting>
  <conditionalFormatting sqref="O7:O16">
    <cfRule type="expression" dxfId="329" priority="27">
      <formula>IF($O7&gt;$Q7,TRUE)</formula>
    </cfRule>
  </conditionalFormatting>
  <conditionalFormatting sqref="Q7:Q16">
    <cfRule type="expression" dxfId="328" priority="28">
      <formula>IF($O7&lt;$Q7,TRUE)</formula>
    </cfRule>
  </conditionalFormatting>
  <conditionalFormatting sqref="S7:S16">
    <cfRule type="expression" dxfId="327" priority="31">
      <formula>IF($S7&gt;$U7,TRUE)</formula>
    </cfRule>
  </conditionalFormatting>
  <conditionalFormatting sqref="U7:U16">
    <cfRule type="expression" dxfId="326" priority="32">
      <formula>IF($S7&lt;$U7,TRUE)</formula>
    </cfRule>
  </conditionalFormatting>
  <conditionalFormatting sqref="G7:G16">
    <cfRule type="expression" dxfId="325" priority="19">
      <formula>IF($G7&gt;$I7,TRUE)</formula>
    </cfRule>
  </conditionalFormatting>
  <conditionalFormatting sqref="I7:I16">
    <cfRule type="expression" dxfId="324" priority="20">
      <formula>IF($G7&lt;$I7,TRUE)</formula>
    </cfRule>
  </conditionalFormatting>
  <conditionalFormatting sqref="F7:F16">
    <cfRule type="containsText" dxfId="323" priority="6" operator="containsText" text="vaba voor">
      <formula>NOT(ISERROR(SEARCH("vaba voor",F7)))</formula>
    </cfRule>
  </conditionalFormatting>
  <conditionalFormatting sqref="N7:N16">
    <cfRule type="containsText" dxfId="322" priority="4" operator="containsText" text="vaba voor">
      <formula>NOT(ISERROR(SEARCH("vaba voor",N7)))</formula>
    </cfRule>
  </conditionalFormatting>
  <conditionalFormatting sqref="R7:R16">
    <cfRule type="containsText" dxfId="321" priority="7" operator="containsText" text="vaba voor">
      <formula>NOT(ISERROR(SEARCH("vaba voor",R7)))</formula>
    </cfRule>
  </conditionalFormatting>
  <conditionalFormatting sqref="V7:V16">
    <cfRule type="containsText" dxfId="320" priority="3" operator="containsText" text="vaba voor">
      <formula>NOT(ISERROR(SEARCH("vaba voor",V7)))</formula>
    </cfRule>
  </conditionalFormatting>
  <conditionalFormatting sqref="J7:J16">
    <cfRule type="containsText" dxfId="319" priority="5" operator="containsText" text="vaba voor">
      <formula>NOT(ISERROR(SEARCH("vaba voor",J7)))</formula>
    </cfRule>
  </conditionalFormatting>
  <conditionalFormatting sqref="C7:F16">
    <cfRule type="expression" dxfId="318" priority="11">
      <formula>IF(AND(ISNUMBER($C7),$C7=$E7),TRUE)</formula>
    </cfRule>
    <cfRule type="expression" dxfId="317" priority="13">
      <formula>IF($C7&gt;$E7,TRUE)</formula>
    </cfRule>
    <cfRule type="expression" dxfId="316" priority="14">
      <formula>IF($C7&lt;$E7,TRUE)</formula>
    </cfRule>
  </conditionalFormatting>
  <conditionalFormatting sqref="G7:J16">
    <cfRule type="expression" dxfId="315" priority="12">
      <formula>IF(AND(ISNUMBER($G7),$G7=$I7),TRUE)</formula>
    </cfRule>
    <cfRule type="expression" dxfId="314" priority="17">
      <formula>IF($G7&gt;$I7,TRUE)</formula>
    </cfRule>
    <cfRule type="expression" dxfId="313" priority="18">
      <formula>IF($G7&lt;$I7,TRUE)</formula>
    </cfRule>
  </conditionalFormatting>
  <conditionalFormatting sqref="K7:N16">
    <cfRule type="expression" dxfId="312" priority="10">
      <formula>IF(AND(ISNUMBER($K7),$K7=$M7),TRUE)</formula>
    </cfRule>
    <cfRule type="expression" dxfId="311" priority="21">
      <formula>IF($K7&gt;$M7,TRUE)</formula>
    </cfRule>
    <cfRule type="expression" dxfId="310" priority="22">
      <formula>IF($K7&lt;$M7,TRUE)</formula>
    </cfRule>
  </conditionalFormatting>
  <conditionalFormatting sqref="O7:R16">
    <cfRule type="expression" dxfId="309" priority="9">
      <formula>IF(AND(ISNUMBER($O7),$O7=$Q7),TRUE)</formula>
    </cfRule>
    <cfRule type="expression" dxfId="308" priority="25">
      <formula>IF($O7&gt;$Q7,TRUE)</formula>
    </cfRule>
    <cfRule type="expression" dxfId="307" priority="26">
      <formula>IF($O7&lt;$Q7,TRUE)</formula>
    </cfRule>
  </conditionalFormatting>
  <conditionalFormatting sqref="S7:V16">
    <cfRule type="expression" dxfId="306" priority="8">
      <formula>IF(AND(ISNUMBER($S7),$S7=$U7),TRUE)</formula>
    </cfRule>
    <cfRule type="expression" dxfId="305" priority="29">
      <formula>IF($S7&gt;$U7,TRUE)</formula>
    </cfRule>
    <cfRule type="expression" dxfId="304" priority="30">
      <formula>IF($S7&lt;$U7,TRUE)</formula>
    </cfRule>
  </conditionalFormatting>
  <conditionalFormatting sqref="C7:C16 G7:G16 K7:K16 O7:O16 S7:S16">
    <cfRule type="expression" dxfId="303" priority="1">
      <formula>AND(C7=0,E7=13)</formula>
    </cfRule>
  </conditionalFormatting>
  <conditionalFormatting sqref="E7:E16 I7:I16 M7:M16 Q7:Q16 U7:U16">
    <cfRule type="expression" dxfId="302" priority="2">
      <formula>AND(E7=0,C7=13)</formula>
    </cfRule>
  </conditionalFormatting>
  <pageMargins left="0.39370078740157483" right="0.39370078740157483" top="0.78740157480314965" bottom="0.39370078740157483" header="0.78740157480314965" footer="0"/>
  <pageSetup paperSize="9" fitToHeight="0" orientation="landscape" verticalDpi="1200" r:id="rId1"/>
  <headerFooter>
    <oddHeader>&amp;R&amp;P. leht &amp;N&amp; -st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P308"/>
  <sheetViews>
    <sheetView showGridLines="0" showRowColHeaders="0" workbookViewId="0">
      <pane ySplit="1" topLeftCell="A2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1" width="3.28515625" style="377" customWidth="1"/>
    <col min="2" max="2" width="31.5703125" style="377" bestFit="1" customWidth="1"/>
    <col min="3" max="3" width="4.7109375" style="377" customWidth="1"/>
    <col min="4" max="4" width="1.140625" style="377" customWidth="1"/>
    <col min="5" max="5" width="2.7109375" style="377" customWidth="1"/>
    <col min="6" max="6" width="9.140625" style="377"/>
    <col min="7" max="7" width="2.7109375" style="377" customWidth="1"/>
    <col min="8" max="8" width="1.140625" style="377" customWidth="1"/>
    <col min="9" max="9" width="2.7109375" style="377" customWidth="1"/>
    <col min="10" max="10" width="9.140625" style="377"/>
    <col min="11" max="11" width="2.7109375" style="377" customWidth="1"/>
    <col min="12" max="12" width="1.140625" style="377" customWidth="1"/>
    <col min="13" max="13" width="2.7109375" style="377" customWidth="1"/>
    <col min="14" max="14" width="9.140625" style="377"/>
    <col min="15" max="15" width="2.7109375" style="377" customWidth="1"/>
    <col min="16" max="16" width="1.140625" style="377" customWidth="1"/>
    <col min="17" max="17" width="2.7109375" style="377" customWidth="1"/>
    <col min="18" max="18" width="9.140625" style="377"/>
    <col min="19" max="19" width="2.7109375" style="377" hidden="1" customWidth="1"/>
    <col min="20" max="20" width="1.140625" style="377" hidden="1" customWidth="1"/>
    <col min="21" max="21" width="2.7109375" style="377" hidden="1" customWidth="1"/>
    <col min="22" max="22" width="0" style="377" hidden="1" customWidth="1"/>
    <col min="23" max="23" width="5.7109375" style="377" customWidth="1"/>
    <col min="24" max="24" width="5.5703125" style="377" customWidth="1"/>
    <col min="25" max="25" width="7.42578125" style="377" customWidth="1"/>
    <col min="26" max="26" width="2.7109375" style="377" customWidth="1"/>
    <col min="27" max="27" width="1.140625" style="377" customWidth="1"/>
    <col min="28" max="28" width="2.7109375" style="377" customWidth="1"/>
    <col min="29" max="29" width="4.7109375" style="377" customWidth="1"/>
    <col min="30" max="31" width="9.140625" style="377" hidden="1" customWidth="1"/>
    <col min="32" max="32" width="17" style="377" hidden="1" customWidth="1"/>
    <col min="33" max="33" width="9.140625" style="377" hidden="1" customWidth="1"/>
    <col min="34" max="34" width="15.7109375" style="377" hidden="1" customWidth="1"/>
    <col min="35" max="35" width="9.140625" style="377" hidden="1" customWidth="1"/>
    <col min="36" max="36" width="17.28515625" style="377" hidden="1" customWidth="1"/>
    <col min="37" max="37" width="9.140625" style="377" hidden="1" customWidth="1"/>
    <col min="38" max="38" width="13.85546875" style="377" hidden="1" customWidth="1"/>
    <col min="39" max="39" width="9.140625" style="377" hidden="1" customWidth="1"/>
    <col min="40" max="40" width="17.28515625" style="377" hidden="1" customWidth="1"/>
    <col min="41" max="41" width="9.140625" style="377" hidden="1" customWidth="1"/>
    <col min="42" max="42" width="13.85546875" style="377" hidden="1" customWidth="1"/>
    <col min="43" max="16384" width="9.140625" style="377"/>
  </cols>
  <sheetData>
    <row r="1" spans="1:42" x14ac:dyDescent="0.2">
      <c r="A1" s="376" t="str">
        <f>UPPER((Kalend!E28)&amp;" - "&amp;(Kalend!C28))&amp;" - "&amp;LOWER(Kalend!D28)&amp;" - "&amp;(Kalend!A28)&amp;" kell "&amp;(Kalend!B28)&amp;" - "&amp;(Kalend!F28)</f>
        <v>V8 - VOKA X KV 8. ETAPP - duo - K, 16.08.2023 kell 18:00 - Voka staadion</v>
      </c>
      <c r="O1" s="378"/>
      <c r="P1" s="378"/>
      <c r="Q1" s="379"/>
      <c r="R1" s="379"/>
      <c r="S1" s="379"/>
      <c r="T1" s="380"/>
      <c r="U1" s="380"/>
      <c r="V1" s="380"/>
      <c r="W1" s="378"/>
      <c r="X1" s="381"/>
      <c r="Y1" s="378"/>
      <c r="Z1" s="378"/>
      <c r="AD1" s="382" t="s">
        <v>133</v>
      </c>
      <c r="AE1" s="383"/>
      <c r="AF1" s="383"/>
      <c r="AG1" s="383"/>
      <c r="AH1" s="383"/>
      <c r="AI1" s="383"/>
      <c r="AJ1" s="383"/>
      <c r="AK1" s="383"/>
      <c r="AL1" s="383"/>
      <c r="AM1" s="383"/>
      <c r="AN1" s="383"/>
      <c r="AO1" s="384"/>
      <c r="AP1" s="384"/>
    </row>
    <row r="2" spans="1:42" x14ac:dyDescent="0.2">
      <c r="A2" s="385"/>
      <c r="F2" s="378"/>
      <c r="L2" s="386"/>
      <c r="M2" s="386"/>
      <c r="N2" s="386"/>
      <c r="O2" s="378"/>
      <c r="P2" s="378"/>
      <c r="Q2" s="378"/>
      <c r="R2" s="387" t="s">
        <v>292</v>
      </c>
      <c r="S2" s="378"/>
      <c r="T2" s="386"/>
      <c r="U2" s="386"/>
      <c r="V2" s="386"/>
      <c r="W2" s="388">
        <v>1</v>
      </c>
      <c r="X2" s="389" t="s">
        <v>293</v>
      </c>
      <c r="Y2" s="378"/>
      <c r="Z2" s="378"/>
      <c r="AA2" s="378"/>
      <c r="AB2" s="378"/>
      <c r="AE2" s="378"/>
      <c r="AG2" s="378"/>
      <c r="AH2" s="378"/>
      <c r="AI2" s="378"/>
      <c r="AJ2" s="378"/>
      <c r="AK2" s="378"/>
      <c r="AL2" s="378"/>
      <c r="AM2" s="378"/>
      <c r="AN2" s="378"/>
    </row>
    <row r="3" spans="1:42" x14ac:dyDescent="0.2">
      <c r="A3" s="385"/>
      <c r="F3" s="378"/>
      <c r="L3" s="378"/>
      <c r="M3" s="378"/>
      <c r="N3" s="378"/>
      <c r="O3" s="378"/>
      <c r="P3" s="378"/>
      <c r="Q3" s="378"/>
      <c r="R3" s="390" t="s">
        <v>294</v>
      </c>
      <c r="S3" s="378"/>
      <c r="T3" s="378"/>
      <c r="U3" s="378"/>
      <c r="V3" s="378"/>
      <c r="W3" s="388">
        <v>0.5</v>
      </c>
      <c r="X3" s="389" t="s">
        <v>293</v>
      </c>
      <c r="Y3" s="378"/>
      <c r="Z3" s="378"/>
      <c r="AA3" s="378"/>
      <c r="AB3" s="378"/>
      <c r="AE3" s="386"/>
      <c r="AF3" s="386"/>
      <c r="AG3" s="386"/>
      <c r="AH3" s="391"/>
      <c r="AI3" s="386"/>
      <c r="AJ3" s="386"/>
      <c r="AK3" s="386"/>
      <c r="AL3" s="386"/>
      <c r="AM3" s="386"/>
      <c r="AN3" s="386"/>
      <c r="AO3" s="386"/>
      <c r="AP3" s="386"/>
    </row>
    <row r="4" spans="1:42" x14ac:dyDescent="0.2">
      <c r="F4" s="378"/>
      <c r="L4" s="378"/>
      <c r="M4" s="378"/>
      <c r="N4" s="378"/>
      <c r="O4" s="378"/>
      <c r="P4" s="378"/>
      <c r="Q4" s="378"/>
      <c r="R4" s="392" t="s">
        <v>295</v>
      </c>
      <c r="S4" s="378"/>
      <c r="T4" s="378"/>
      <c r="U4" s="378"/>
      <c r="V4" s="378"/>
      <c r="W4" s="388">
        <v>0</v>
      </c>
      <c r="X4" s="389" t="s">
        <v>293</v>
      </c>
      <c r="Y4" s="378"/>
      <c r="Z4" s="378"/>
      <c r="AA4" s="378"/>
      <c r="AB4" s="378"/>
    </row>
    <row r="5" spans="1:42" x14ac:dyDescent="0.2">
      <c r="F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W5" s="378"/>
      <c r="X5" s="378"/>
      <c r="Y5" s="378"/>
      <c r="Z5" s="378"/>
      <c r="AA5" s="378"/>
      <c r="AB5" s="393" t="s">
        <v>296</v>
      </c>
      <c r="AD5" s="394" t="s">
        <v>297</v>
      </c>
    </row>
    <row r="6" spans="1:42" x14ac:dyDescent="0.2">
      <c r="A6" s="395" t="s">
        <v>157</v>
      </c>
      <c r="B6" s="395" t="s">
        <v>156</v>
      </c>
      <c r="C6" s="396" t="s">
        <v>298</v>
      </c>
      <c r="D6" s="397"/>
      <c r="E6" s="397"/>
      <c r="F6" s="398"/>
      <c r="G6" s="396" t="s">
        <v>299</v>
      </c>
      <c r="H6" s="397"/>
      <c r="I6" s="397"/>
      <c r="J6" s="398"/>
      <c r="K6" s="396" t="s">
        <v>300</v>
      </c>
      <c r="L6" s="397"/>
      <c r="M6" s="397"/>
      <c r="N6" s="398"/>
      <c r="O6" s="396" t="s">
        <v>301</v>
      </c>
      <c r="P6" s="397"/>
      <c r="Q6" s="397"/>
      <c r="R6" s="398"/>
      <c r="S6" s="396" t="s">
        <v>302</v>
      </c>
      <c r="T6" s="397"/>
      <c r="U6" s="397"/>
      <c r="V6" s="398"/>
      <c r="W6" s="395" t="s">
        <v>142</v>
      </c>
      <c r="X6" s="399" t="s">
        <v>303</v>
      </c>
      <c r="Y6" s="395" t="s">
        <v>304</v>
      </c>
      <c r="Z6" s="399"/>
      <c r="AA6" s="400" t="s">
        <v>305</v>
      </c>
      <c r="AB6" s="401"/>
      <c r="AC6" s="402" t="s">
        <v>306</v>
      </c>
      <c r="AD6" s="403" t="s">
        <v>261</v>
      </c>
      <c r="AE6" s="404"/>
      <c r="AF6" s="404" t="s">
        <v>307</v>
      </c>
      <c r="AG6" s="404"/>
      <c r="AH6" s="405" t="s">
        <v>308</v>
      </c>
      <c r="AI6" s="404"/>
      <c r="AJ6" s="404" t="s">
        <v>309</v>
      </c>
      <c r="AK6" s="406"/>
      <c r="AL6" s="404" t="s">
        <v>310</v>
      </c>
      <c r="AM6" s="406"/>
      <c r="AN6" s="406" t="s">
        <v>311</v>
      </c>
      <c r="AO6" s="407"/>
      <c r="AP6" s="406" t="s">
        <v>312</v>
      </c>
    </row>
    <row r="7" spans="1:42" x14ac:dyDescent="0.2">
      <c r="A7" s="408">
        <v>1</v>
      </c>
      <c r="B7" s="409" t="s">
        <v>406</v>
      </c>
      <c r="C7" s="410">
        <v>13</v>
      </c>
      <c r="D7" s="411" t="s">
        <v>313</v>
      </c>
      <c r="E7" s="411">
        <v>7</v>
      </c>
      <c r="F7" s="412" t="s">
        <v>318</v>
      </c>
      <c r="G7" s="410">
        <v>11</v>
      </c>
      <c r="H7" s="411" t="s">
        <v>313</v>
      </c>
      <c r="I7" s="411">
        <v>9</v>
      </c>
      <c r="J7" s="412" t="s">
        <v>319</v>
      </c>
      <c r="K7" s="410">
        <v>13</v>
      </c>
      <c r="L7" s="411" t="s">
        <v>313</v>
      </c>
      <c r="M7" s="411">
        <v>4</v>
      </c>
      <c r="N7" s="412" t="s">
        <v>320</v>
      </c>
      <c r="O7" s="410">
        <v>13</v>
      </c>
      <c r="P7" s="411" t="s">
        <v>313</v>
      </c>
      <c r="Q7" s="411">
        <v>12</v>
      </c>
      <c r="R7" s="412" t="s">
        <v>321</v>
      </c>
      <c r="S7" s="410"/>
      <c r="T7" s="411"/>
      <c r="U7" s="411"/>
      <c r="V7" s="412"/>
      <c r="W7" s="413">
        <f t="shared" ref="W7:W15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4</v>
      </c>
      <c r="X7" s="414">
        <v>18</v>
      </c>
      <c r="Y7" s="414">
        <v>76</v>
      </c>
      <c r="Z7" s="410">
        <f t="shared" ref="Z7:Z15" si="1">C7+G7+K7+O7+S7</f>
        <v>50</v>
      </c>
      <c r="AA7" s="411" t="s">
        <v>313</v>
      </c>
      <c r="AB7" s="415">
        <f t="shared" ref="AB7:AB15" si="2">E7+I7+M7+Q7+U7</f>
        <v>32</v>
      </c>
      <c r="AC7" s="416">
        <f t="shared" ref="AC7:AC15" si="3">Z7-AB7</f>
        <v>18</v>
      </c>
      <c r="AD7" s="417">
        <f t="shared" ref="AD7:AD10" si="4">SUM(AE7:AL7)</f>
        <v>234</v>
      </c>
      <c r="AE7" s="418">
        <f>IFERROR(INDEX(V!$R:$R,MATCH(AF7,V!$L:$L,0)),"")</f>
        <v>132</v>
      </c>
      <c r="AF7" s="419" t="str">
        <f t="shared" ref="AF7:AF15" si="5">IFERROR(LEFT($B7,(FIND(",",$B7,1)-1)),"")</f>
        <v>Andres Veski</v>
      </c>
      <c r="AG7" s="418">
        <f>IFERROR(INDEX(V!$R:$R,MATCH(AH7,V!$L:$L,0)),"")</f>
        <v>102</v>
      </c>
      <c r="AH7" s="419" t="str">
        <f t="shared" ref="AH7:AH15" si="6">IFERROR(MID($B7,FIND(", ",$B7)+2,256),"")</f>
        <v>Svetlana Veski</v>
      </c>
      <c r="AI7" s="418" t="str">
        <f>IFERROR(INDEX(V!$R:$R,MATCH(AJ7,V!$L:$L,0)),"")</f>
        <v/>
      </c>
      <c r="AJ7" s="419" t="str">
        <f t="shared" ref="AJ7:AJ15" si="7">IFERROR(MID($B7,FIND("^",SUBSTITUTE($B7,", ","^",1))+2,FIND("^",SUBSTITUTE($B7,", ","^",2))-FIND("^",SUBSTITUTE($B7,", ","^",1))-2),"")</f>
        <v/>
      </c>
      <c r="AK7" s="418" t="str">
        <f>IFERROR(INDEX(V!$R:$R,MATCH(AL7,V!$L:$L,0)),"")</f>
        <v/>
      </c>
      <c r="AL7" s="419" t="str">
        <f t="shared" ref="AL7:AL15" si="8">IFERROR(MID($B7,FIND(", ",$B7,FIND(", ",$B7,FIND(", ",$B7))+1)+2,30000),"")</f>
        <v/>
      </c>
      <c r="AM7" s="418" t="str">
        <f>IFERROR(INDEX(V!$R:$R,MATCH(AN7,V!$L:$L,0)),"")</f>
        <v/>
      </c>
      <c r="AN7" s="419" t="str">
        <f t="shared" ref="AN7:AN15" si="9">IFERROR(MID($B7,FIND(", ",$B7,FIND(", ",$B7)+1)+2,FIND(", ",$B7,FIND(", ",$B7,FIND(", ",$B7)+1)+1)-FIND(", ",$B7,FIND(", ",$B7)+1)-2),"")</f>
        <v/>
      </c>
      <c r="AO7" s="418" t="str">
        <f>IFERROR(INDEX(V!$R:$R,MATCH(AP7,V!$L:$L,0)),"")</f>
        <v/>
      </c>
      <c r="AP7" s="419" t="str">
        <f t="shared" ref="AP7:AP15" si="10">IFERROR(MID($B7,FIND(", ",$B7,FIND(", ",$B7,FIND(", ",$B7)+1)+1)+2,30000),"")</f>
        <v/>
      </c>
    </row>
    <row r="8" spans="1:42" x14ac:dyDescent="0.2">
      <c r="A8" s="408">
        <v>2</v>
      </c>
      <c r="B8" s="409" t="s">
        <v>445</v>
      </c>
      <c r="C8" s="410">
        <v>13</v>
      </c>
      <c r="D8" s="411" t="s">
        <v>313</v>
      </c>
      <c r="E8" s="411">
        <v>2</v>
      </c>
      <c r="F8" s="412" t="s">
        <v>322</v>
      </c>
      <c r="G8" s="410">
        <v>13</v>
      </c>
      <c r="H8" s="411" t="s">
        <v>313</v>
      </c>
      <c r="I8" s="411">
        <v>1</v>
      </c>
      <c r="J8" s="412" t="s">
        <v>323</v>
      </c>
      <c r="K8" s="410">
        <v>4</v>
      </c>
      <c r="L8" s="411" t="s">
        <v>313</v>
      </c>
      <c r="M8" s="411">
        <v>13</v>
      </c>
      <c r="N8" s="412" t="s">
        <v>317</v>
      </c>
      <c r="O8" s="410">
        <v>11</v>
      </c>
      <c r="P8" s="411" t="s">
        <v>313</v>
      </c>
      <c r="Q8" s="411">
        <v>10</v>
      </c>
      <c r="R8" s="412" t="s">
        <v>314</v>
      </c>
      <c r="S8" s="410"/>
      <c r="T8" s="411"/>
      <c r="U8" s="411"/>
      <c r="V8" s="412"/>
      <c r="W8" s="413">
        <f t="shared" si="0"/>
        <v>3</v>
      </c>
      <c r="X8" s="414">
        <v>18</v>
      </c>
      <c r="Y8" s="414">
        <v>66</v>
      </c>
      <c r="Z8" s="410">
        <f t="shared" si="1"/>
        <v>41</v>
      </c>
      <c r="AA8" s="411" t="s">
        <v>313</v>
      </c>
      <c r="AB8" s="415">
        <f t="shared" si="2"/>
        <v>26</v>
      </c>
      <c r="AC8" s="416">
        <f t="shared" si="3"/>
        <v>15</v>
      </c>
      <c r="AD8" s="417">
        <f t="shared" si="4"/>
        <v>262</v>
      </c>
      <c r="AE8" s="418">
        <f>IFERROR(INDEX(V!$R:$R,MATCH(AF8,V!$L:$L,0)),"")</f>
        <v>132</v>
      </c>
      <c r="AF8" s="419" t="str">
        <f t="shared" si="5"/>
        <v>Ivar Viljaste</v>
      </c>
      <c r="AG8" s="418">
        <f>IFERROR(INDEX(V!$R:$R,MATCH(AH8,V!$L:$L,0)),"")</f>
        <v>130</v>
      </c>
      <c r="AH8" s="419" t="str">
        <f t="shared" si="6"/>
        <v>Kaspar Mänd</v>
      </c>
      <c r="AI8" s="418" t="str">
        <f>IFERROR(INDEX(V!$R:$R,MATCH(AJ8,V!$L:$L,0)),"")</f>
        <v/>
      </c>
      <c r="AJ8" s="419" t="str">
        <f t="shared" si="7"/>
        <v/>
      </c>
      <c r="AK8" s="418" t="str">
        <f>IFERROR(INDEX(V!$R:$R,MATCH(AL8,V!$L:$L,0)),"")</f>
        <v/>
      </c>
      <c r="AL8" s="419" t="str">
        <f t="shared" si="8"/>
        <v/>
      </c>
      <c r="AM8" s="418" t="str">
        <f>IFERROR(INDEX(V!$R:$R,MATCH(AN8,V!$L:$L,0)),"")</f>
        <v/>
      </c>
      <c r="AN8" s="419" t="str">
        <f t="shared" si="9"/>
        <v/>
      </c>
      <c r="AO8" s="418" t="str">
        <f>IFERROR(INDEX(V!$R:$R,MATCH(AP8,V!$L:$L,0)),"")</f>
        <v/>
      </c>
      <c r="AP8" s="419" t="str">
        <f t="shared" si="10"/>
        <v/>
      </c>
    </row>
    <row r="9" spans="1:42" x14ac:dyDescent="0.2">
      <c r="A9" s="408">
        <v>3</v>
      </c>
      <c r="B9" s="421" t="s">
        <v>394</v>
      </c>
      <c r="C9" s="410">
        <v>11</v>
      </c>
      <c r="D9" s="411" t="s">
        <v>313</v>
      </c>
      <c r="E9" s="411">
        <v>13</v>
      </c>
      <c r="F9" s="412" t="s">
        <v>314</v>
      </c>
      <c r="G9" s="410">
        <v>13</v>
      </c>
      <c r="H9" s="411" t="s">
        <v>313</v>
      </c>
      <c r="I9" s="411">
        <v>5</v>
      </c>
      <c r="J9" s="412" t="s">
        <v>325</v>
      </c>
      <c r="K9" s="410">
        <v>13</v>
      </c>
      <c r="L9" s="411" t="s">
        <v>313</v>
      </c>
      <c r="M9" s="411">
        <v>9</v>
      </c>
      <c r="N9" s="412" t="s">
        <v>318</v>
      </c>
      <c r="O9" s="410">
        <v>13</v>
      </c>
      <c r="P9" s="411" t="s">
        <v>313</v>
      </c>
      <c r="Q9" s="411">
        <v>9</v>
      </c>
      <c r="R9" s="412" t="s">
        <v>326</v>
      </c>
      <c r="S9" s="410"/>
      <c r="T9" s="411"/>
      <c r="U9" s="411"/>
      <c r="V9" s="412"/>
      <c r="W9" s="413">
        <f t="shared" si="0"/>
        <v>3</v>
      </c>
      <c r="X9" s="414">
        <v>18</v>
      </c>
      <c r="Y9" s="414">
        <v>62</v>
      </c>
      <c r="Z9" s="410">
        <f t="shared" si="1"/>
        <v>50</v>
      </c>
      <c r="AA9" s="411" t="s">
        <v>313</v>
      </c>
      <c r="AB9" s="415">
        <f t="shared" si="2"/>
        <v>36</v>
      </c>
      <c r="AC9" s="416">
        <f t="shared" si="3"/>
        <v>14</v>
      </c>
      <c r="AD9" s="417">
        <f t="shared" si="4"/>
        <v>176</v>
      </c>
      <c r="AE9" s="418">
        <f>IFERROR(INDEX(V!$R:$R,MATCH(AF9,V!$L:$L,0)),"")</f>
        <v>62</v>
      </c>
      <c r="AF9" s="419" t="str">
        <f t="shared" si="5"/>
        <v>Boriss Klubov</v>
      </c>
      <c r="AG9" s="418">
        <f>IFERROR(INDEX(V!$R:$R,MATCH(AH9,V!$L:$L,0)),"")</f>
        <v>114</v>
      </c>
      <c r="AH9" s="419" t="str">
        <f t="shared" si="6"/>
        <v>Elmo Lageda</v>
      </c>
      <c r="AI9" s="418" t="str">
        <f>IFERROR(INDEX(V!$R:$R,MATCH(AJ9,V!$L:$L,0)),"")</f>
        <v/>
      </c>
      <c r="AJ9" s="419" t="str">
        <f t="shared" si="7"/>
        <v/>
      </c>
      <c r="AK9" s="418" t="str">
        <f>IFERROR(INDEX(V!$R:$R,MATCH(AL9,V!$L:$L,0)),"")</f>
        <v/>
      </c>
      <c r="AL9" s="419" t="str">
        <f t="shared" si="8"/>
        <v/>
      </c>
      <c r="AM9" s="418" t="str">
        <f>IFERROR(INDEX(V!$R:$R,MATCH(AN9,V!$L:$L,0)),"")</f>
        <v/>
      </c>
      <c r="AN9" s="419" t="str">
        <f t="shared" si="9"/>
        <v/>
      </c>
      <c r="AO9" s="418" t="str">
        <f>IFERROR(INDEX(V!$R:$R,MATCH(AP9,V!$L:$L,0)),"")</f>
        <v/>
      </c>
      <c r="AP9" s="419" t="str">
        <f t="shared" si="10"/>
        <v/>
      </c>
    </row>
    <row r="10" spans="1:42" x14ac:dyDescent="0.2">
      <c r="A10" s="408">
        <v>4</v>
      </c>
      <c r="B10" s="421" t="s">
        <v>425</v>
      </c>
      <c r="C10" s="410">
        <v>13</v>
      </c>
      <c r="D10" s="411" t="s">
        <v>313</v>
      </c>
      <c r="E10" s="411">
        <v>9</v>
      </c>
      <c r="F10" s="412" t="s">
        <v>327</v>
      </c>
      <c r="G10" s="410">
        <v>13</v>
      </c>
      <c r="H10" s="411" t="s">
        <v>313</v>
      </c>
      <c r="I10" s="411">
        <v>6</v>
      </c>
      <c r="J10" s="412" t="s">
        <v>314</v>
      </c>
      <c r="K10" s="410">
        <v>13</v>
      </c>
      <c r="L10" s="411" t="s">
        <v>313</v>
      </c>
      <c r="M10" s="411">
        <v>3</v>
      </c>
      <c r="N10" s="412" t="s">
        <v>319</v>
      </c>
      <c r="O10" s="410">
        <v>12</v>
      </c>
      <c r="P10" s="411" t="s">
        <v>313</v>
      </c>
      <c r="Q10" s="411">
        <v>13</v>
      </c>
      <c r="R10" s="412" t="s">
        <v>317</v>
      </c>
      <c r="S10" s="410"/>
      <c r="T10" s="411"/>
      <c r="U10" s="411"/>
      <c r="V10" s="412"/>
      <c r="W10" s="413">
        <f t="shared" si="0"/>
        <v>3</v>
      </c>
      <c r="X10" s="414">
        <v>16</v>
      </c>
      <c r="Y10" s="414">
        <v>78</v>
      </c>
      <c r="Z10" s="410">
        <f t="shared" si="1"/>
        <v>51</v>
      </c>
      <c r="AA10" s="411" t="s">
        <v>313</v>
      </c>
      <c r="AB10" s="415">
        <f t="shared" si="2"/>
        <v>31</v>
      </c>
      <c r="AC10" s="416">
        <f t="shared" si="3"/>
        <v>20</v>
      </c>
      <c r="AD10" s="417">
        <f t="shared" si="4"/>
        <v>190</v>
      </c>
      <c r="AE10" s="418">
        <f>IFERROR(INDEX(V!$R:$R,MATCH(AF10,V!$L:$L,0)),"")</f>
        <v>108</v>
      </c>
      <c r="AF10" s="419" t="str">
        <f t="shared" si="5"/>
        <v>Marko Rooden</v>
      </c>
      <c r="AG10" s="418">
        <f>IFERROR(INDEX(V!$R:$R,MATCH(AH10,V!$L:$L,0)),"")</f>
        <v>82</v>
      </c>
      <c r="AH10" s="419" t="str">
        <f t="shared" si="6"/>
        <v>Martin Kuusmann</v>
      </c>
      <c r="AI10" s="418" t="str">
        <f>IFERROR(INDEX(V!$R:$R,MATCH(AJ10,V!$L:$L,0)),"")</f>
        <v/>
      </c>
      <c r="AJ10" s="419" t="str">
        <f t="shared" si="7"/>
        <v/>
      </c>
      <c r="AK10" s="418" t="str">
        <f>IFERROR(INDEX(V!$R:$R,MATCH(AL10,V!$L:$L,0)),"")</f>
        <v/>
      </c>
      <c r="AL10" s="419" t="str">
        <f t="shared" si="8"/>
        <v/>
      </c>
      <c r="AM10" s="418" t="str">
        <f>IFERROR(INDEX(V!$R:$R,MATCH(AN10,V!$L:$L,0)),"")</f>
        <v/>
      </c>
      <c r="AN10" s="419" t="str">
        <f t="shared" si="9"/>
        <v/>
      </c>
      <c r="AO10" s="418" t="str">
        <f>IFERROR(INDEX(V!$R:$R,MATCH(AP10,V!$L:$L,0)),"")</f>
        <v/>
      </c>
      <c r="AP10" s="419" t="str">
        <f t="shared" si="10"/>
        <v/>
      </c>
    </row>
    <row r="11" spans="1:42" x14ac:dyDescent="0.2">
      <c r="A11" s="408">
        <v>5</v>
      </c>
      <c r="B11" s="409" t="s">
        <v>450</v>
      </c>
      <c r="C11" s="410">
        <v>13</v>
      </c>
      <c r="D11" s="411" t="s">
        <v>313</v>
      </c>
      <c r="E11" s="411">
        <v>7</v>
      </c>
      <c r="F11" s="412" t="s">
        <v>315</v>
      </c>
      <c r="G11" s="410">
        <v>5</v>
      </c>
      <c r="H11" s="411" t="s">
        <v>313</v>
      </c>
      <c r="I11" s="411">
        <v>13</v>
      </c>
      <c r="J11" s="412" t="s">
        <v>324</v>
      </c>
      <c r="K11" s="410">
        <v>13</v>
      </c>
      <c r="L11" s="411" t="s">
        <v>313</v>
      </c>
      <c r="M11" s="411">
        <v>6</v>
      </c>
      <c r="N11" s="412" t="s">
        <v>327</v>
      </c>
      <c r="O11" s="410">
        <v>13</v>
      </c>
      <c r="P11" s="411" t="s">
        <v>313</v>
      </c>
      <c r="Q11" s="411">
        <v>1</v>
      </c>
      <c r="R11" s="412" t="s">
        <v>319</v>
      </c>
      <c r="S11" s="410"/>
      <c r="T11" s="411"/>
      <c r="U11" s="411"/>
      <c r="V11" s="412"/>
      <c r="W11" s="413">
        <f t="shared" si="0"/>
        <v>3</v>
      </c>
      <c r="X11" s="414">
        <v>10</v>
      </c>
      <c r="Y11" s="414">
        <v>58</v>
      </c>
      <c r="Z11" s="410">
        <f t="shared" si="1"/>
        <v>44</v>
      </c>
      <c r="AA11" s="411" t="s">
        <v>313</v>
      </c>
      <c r="AB11" s="415">
        <f t="shared" si="2"/>
        <v>27</v>
      </c>
      <c r="AC11" s="416">
        <f t="shared" si="3"/>
        <v>17</v>
      </c>
      <c r="AD11" s="417">
        <f t="shared" ref="AD11:AD13" si="11">SUM(AE11:AL11)</f>
        <v>322</v>
      </c>
      <c r="AE11" s="418">
        <f>IFERROR(INDEX(V!$R:$R,MATCH(AF11,V!$L:$L,0)),"")</f>
        <v>156</v>
      </c>
      <c r="AF11" s="419" t="str">
        <f t="shared" si="5"/>
        <v>Aleksander Korikov</v>
      </c>
      <c r="AG11" s="418">
        <f>IFERROR(INDEX(V!$R:$R,MATCH(AH11,V!$L:$L,0)),"")</f>
        <v>166</v>
      </c>
      <c r="AH11" s="419" t="str">
        <f t="shared" si="6"/>
        <v>Sander Rose</v>
      </c>
      <c r="AI11" s="418" t="str">
        <f>IFERROR(INDEX(V!$R:$R,MATCH(AJ11,V!$L:$L,0)),"")</f>
        <v/>
      </c>
      <c r="AJ11" s="419" t="str">
        <f t="shared" si="7"/>
        <v/>
      </c>
      <c r="AK11" s="418" t="str">
        <f>IFERROR(INDEX(V!$R:$R,MATCH(AL11,V!$L:$L,0)),"")</f>
        <v/>
      </c>
      <c r="AL11" s="419" t="str">
        <f t="shared" si="8"/>
        <v/>
      </c>
      <c r="AM11" s="418" t="str">
        <f>IFERROR(INDEX(V!$R:$R,MATCH(AN11,V!$L:$L,0)),"")</f>
        <v/>
      </c>
      <c r="AN11" s="419" t="str">
        <f t="shared" si="9"/>
        <v/>
      </c>
      <c r="AO11" s="418" t="str">
        <f>IFERROR(INDEX(V!$R:$R,MATCH(AP11,V!$L:$L,0)),"")</f>
        <v/>
      </c>
      <c r="AP11" s="419" t="str">
        <f t="shared" si="10"/>
        <v/>
      </c>
    </row>
    <row r="12" spans="1:42" x14ac:dyDescent="0.2">
      <c r="A12" s="408">
        <v>6</v>
      </c>
      <c r="B12" s="421" t="s">
        <v>323</v>
      </c>
      <c r="C12" s="410">
        <v>13</v>
      </c>
      <c r="D12" s="411" t="s">
        <v>313</v>
      </c>
      <c r="E12" s="411">
        <v>11</v>
      </c>
      <c r="F12" s="412" t="s">
        <v>324</v>
      </c>
      <c r="G12" s="410">
        <v>6</v>
      </c>
      <c r="H12" s="411" t="s">
        <v>313</v>
      </c>
      <c r="I12" s="411">
        <v>13</v>
      </c>
      <c r="J12" s="412" t="s">
        <v>321</v>
      </c>
      <c r="K12" s="410">
        <v>13</v>
      </c>
      <c r="L12" s="411" t="s">
        <v>313</v>
      </c>
      <c r="M12" s="411">
        <v>7</v>
      </c>
      <c r="N12" s="412" t="s">
        <v>323</v>
      </c>
      <c r="O12" s="410">
        <v>10</v>
      </c>
      <c r="P12" s="411" t="s">
        <v>313</v>
      </c>
      <c r="Q12" s="411">
        <v>11</v>
      </c>
      <c r="R12" s="412" t="s">
        <v>320</v>
      </c>
      <c r="S12" s="410"/>
      <c r="T12" s="411"/>
      <c r="U12" s="411"/>
      <c r="V12" s="412"/>
      <c r="W12" s="413">
        <f t="shared" si="0"/>
        <v>2</v>
      </c>
      <c r="X12" s="414">
        <v>20</v>
      </c>
      <c r="Y12" s="414">
        <v>68</v>
      </c>
      <c r="Z12" s="410">
        <f t="shared" si="1"/>
        <v>42</v>
      </c>
      <c r="AA12" s="411" t="s">
        <v>313</v>
      </c>
      <c r="AB12" s="415">
        <f t="shared" si="2"/>
        <v>42</v>
      </c>
      <c r="AC12" s="416">
        <f t="shared" si="3"/>
        <v>0</v>
      </c>
      <c r="AD12" s="417">
        <f t="shared" si="11"/>
        <v>308</v>
      </c>
      <c r="AE12" s="418">
        <f>IFERROR(INDEX(V!$R:$R,MATCH(AF12,V!$L:$L,0)),"")</f>
        <v>154</v>
      </c>
      <c r="AF12" s="419" t="str">
        <f t="shared" si="5"/>
        <v>Kristel Tihhonjuk</v>
      </c>
      <c r="AG12" s="418">
        <f>IFERROR(INDEX(V!$R:$R,MATCH(AH12,V!$L:$L,0)),"")</f>
        <v>154</v>
      </c>
      <c r="AH12" s="419" t="str">
        <f t="shared" si="6"/>
        <v>Vadim Tihhonjuk</v>
      </c>
      <c r="AI12" s="418" t="str">
        <f>IFERROR(INDEX(V!$R:$R,MATCH(AJ12,V!$L:$L,0)),"")</f>
        <v/>
      </c>
      <c r="AJ12" s="419" t="str">
        <f t="shared" si="7"/>
        <v/>
      </c>
      <c r="AK12" s="418" t="str">
        <f>IFERROR(INDEX(V!$R:$R,MATCH(AL12,V!$L:$L,0)),"")</f>
        <v/>
      </c>
      <c r="AL12" s="419" t="str">
        <f t="shared" si="8"/>
        <v/>
      </c>
      <c r="AM12" s="418" t="str">
        <f>IFERROR(INDEX(V!$R:$R,MATCH(AN12,V!$L:$L,0)),"")</f>
        <v/>
      </c>
      <c r="AN12" s="419" t="str">
        <f t="shared" si="9"/>
        <v/>
      </c>
      <c r="AO12" s="418" t="str">
        <f>IFERROR(INDEX(V!$R:$R,MATCH(AP12,V!$L:$L,0)),"")</f>
        <v/>
      </c>
      <c r="AP12" s="419" t="str">
        <f t="shared" si="10"/>
        <v/>
      </c>
    </row>
    <row r="13" spans="1:42" x14ac:dyDescent="0.2">
      <c r="A13" s="408">
        <v>7</v>
      </c>
      <c r="B13" s="422" t="s">
        <v>449</v>
      </c>
      <c r="C13" s="410">
        <v>7</v>
      </c>
      <c r="D13" s="411" t="s">
        <v>313</v>
      </c>
      <c r="E13" s="411">
        <v>13</v>
      </c>
      <c r="F13" s="412" t="s">
        <v>317</v>
      </c>
      <c r="G13" s="410">
        <v>13</v>
      </c>
      <c r="H13" s="411" t="s">
        <v>313</v>
      </c>
      <c r="I13" s="411">
        <v>6</v>
      </c>
      <c r="J13" s="412" t="s">
        <v>327</v>
      </c>
      <c r="K13" s="410">
        <v>9</v>
      </c>
      <c r="L13" s="411" t="s">
        <v>313</v>
      </c>
      <c r="M13" s="411">
        <v>13</v>
      </c>
      <c r="N13" s="412" t="s">
        <v>324</v>
      </c>
      <c r="O13" s="410">
        <v>13</v>
      </c>
      <c r="P13" s="411" t="s">
        <v>313</v>
      </c>
      <c r="Q13" s="411">
        <v>7</v>
      </c>
      <c r="R13" s="412" t="s">
        <v>323</v>
      </c>
      <c r="S13" s="410"/>
      <c r="T13" s="411"/>
      <c r="U13" s="411"/>
      <c r="V13" s="412"/>
      <c r="W13" s="413">
        <f t="shared" si="0"/>
        <v>2</v>
      </c>
      <c r="X13" s="414">
        <v>18</v>
      </c>
      <c r="Y13" s="414">
        <v>68</v>
      </c>
      <c r="Z13" s="410">
        <f t="shared" si="1"/>
        <v>42</v>
      </c>
      <c r="AA13" s="411" t="s">
        <v>313</v>
      </c>
      <c r="AB13" s="415">
        <f t="shared" si="2"/>
        <v>39</v>
      </c>
      <c r="AC13" s="416">
        <f t="shared" si="3"/>
        <v>3</v>
      </c>
      <c r="AD13" s="417">
        <f t="shared" si="11"/>
        <v>268</v>
      </c>
      <c r="AE13" s="418">
        <f>IFERROR(INDEX(V!$R:$R,MATCH(AF13,V!$L:$L,0)),"")</f>
        <v>152</v>
      </c>
      <c r="AF13" s="419" t="str">
        <f t="shared" si="5"/>
        <v>Andrei Grintšak</v>
      </c>
      <c r="AG13" s="418">
        <f>IFERROR(INDEX(V!$R:$R,MATCH(AH13,V!$L:$L,0)),"")</f>
        <v>116</v>
      </c>
      <c r="AH13" s="419" t="str">
        <f t="shared" si="6"/>
        <v>Jaan Saar</v>
      </c>
      <c r="AI13" s="418" t="str">
        <f>IFERROR(INDEX(V!$R:$R,MATCH(AJ13,V!$L:$L,0)),"")</f>
        <v/>
      </c>
      <c r="AJ13" s="419" t="str">
        <f t="shared" si="7"/>
        <v/>
      </c>
      <c r="AK13" s="418" t="str">
        <f>IFERROR(INDEX(V!$R:$R,MATCH(AL13,V!$L:$L,0)),"")</f>
        <v/>
      </c>
      <c r="AL13" s="419" t="str">
        <f t="shared" si="8"/>
        <v/>
      </c>
      <c r="AM13" s="418" t="str">
        <f>IFERROR(INDEX(V!$R:$R,MATCH(AN13,V!$L:$L,0)),"")</f>
        <v/>
      </c>
      <c r="AN13" s="419" t="str">
        <f t="shared" si="9"/>
        <v/>
      </c>
      <c r="AO13" s="418" t="str">
        <f>IFERROR(INDEX(V!$R:$R,MATCH(AP13,V!$L:$L,0)),"")</f>
        <v/>
      </c>
      <c r="AP13" s="419" t="str">
        <f t="shared" si="10"/>
        <v/>
      </c>
    </row>
    <row r="14" spans="1:42" x14ac:dyDescent="0.2">
      <c r="A14" s="408">
        <v>8</v>
      </c>
      <c r="B14" s="422" t="s">
        <v>420</v>
      </c>
      <c r="C14" s="410">
        <v>4</v>
      </c>
      <c r="D14" s="411" t="s">
        <v>313</v>
      </c>
      <c r="E14" s="411">
        <v>13</v>
      </c>
      <c r="F14" s="412" t="s">
        <v>319</v>
      </c>
      <c r="G14" s="410">
        <v>13</v>
      </c>
      <c r="H14" s="411" t="s">
        <v>313</v>
      </c>
      <c r="I14" s="411">
        <v>7</v>
      </c>
      <c r="J14" s="412" t="s">
        <v>322</v>
      </c>
      <c r="K14" s="410">
        <v>13</v>
      </c>
      <c r="L14" s="411" t="s">
        <v>313</v>
      </c>
      <c r="M14" s="411">
        <v>4</v>
      </c>
      <c r="N14" s="412" t="s">
        <v>328</v>
      </c>
      <c r="O14" s="410">
        <v>9</v>
      </c>
      <c r="P14" s="411" t="s">
        <v>313</v>
      </c>
      <c r="Q14" s="411">
        <v>13</v>
      </c>
      <c r="R14" s="412" t="s">
        <v>324</v>
      </c>
      <c r="S14" s="410"/>
      <c r="T14" s="411"/>
      <c r="U14" s="411"/>
      <c r="V14" s="412"/>
      <c r="W14" s="413">
        <f t="shared" si="0"/>
        <v>2</v>
      </c>
      <c r="X14" s="414">
        <v>14</v>
      </c>
      <c r="Y14" s="414">
        <v>64</v>
      </c>
      <c r="Z14" s="410">
        <f t="shared" si="1"/>
        <v>39</v>
      </c>
      <c r="AA14" s="411" t="s">
        <v>313</v>
      </c>
      <c r="AB14" s="415">
        <f t="shared" si="2"/>
        <v>37</v>
      </c>
      <c r="AC14" s="416">
        <f t="shared" si="3"/>
        <v>2</v>
      </c>
      <c r="AD14" s="417">
        <f t="shared" ref="AD14:AD15" si="12">SUM(AE14:AL14)</f>
        <v>222</v>
      </c>
      <c r="AE14" s="418">
        <f>IFERROR(INDEX(V!$R:$R,MATCH(AF14,V!$L:$L,0)),"")</f>
        <v>94</v>
      </c>
      <c r="AF14" s="419" t="str">
        <f t="shared" si="5"/>
        <v>Johannes Neiland</v>
      </c>
      <c r="AG14" s="418">
        <f>IFERROR(INDEX(V!$R:$R,MATCH(AH14,V!$L:$L,0)),"")</f>
        <v>128</v>
      </c>
      <c r="AH14" s="419" t="str">
        <f t="shared" si="6"/>
        <v>Urmas Randlaine</v>
      </c>
      <c r="AI14" s="418" t="str">
        <f>IFERROR(INDEX(V!$R:$R,MATCH(AJ14,V!$L:$L,0)),"")</f>
        <v/>
      </c>
      <c r="AJ14" s="419" t="str">
        <f t="shared" si="7"/>
        <v/>
      </c>
      <c r="AK14" s="418" t="str">
        <f>IFERROR(INDEX(V!$R:$R,MATCH(AL14,V!$L:$L,0)),"")</f>
        <v/>
      </c>
      <c r="AL14" s="419" t="str">
        <f t="shared" si="8"/>
        <v/>
      </c>
      <c r="AM14" s="418" t="str">
        <f>IFERROR(INDEX(V!$R:$R,MATCH(AN14,V!$L:$L,0)),"")</f>
        <v/>
      </c>
      <c r="AN14" s="419" t="str">
        <f t="shared" si="9"/>
        <v/>
      </c>
      <c r="AO14" s="418" t="str">
        <f>IFERROR(INDEX(V!$R:$R,MATCH(AP14,V!$L:$L,0)),"")</f>
        <v/>
      </c>
      <c r="AP14" s="419" t="str">
        <f t="shared" si="10"/>
        <v/>
      </c>
    </row>
    <row r="15" spans="1:42" x14ac:dyDescent="0.2">
      <c r="A15" s="408">
        <v>9</v>
      </c>
      <c r="B15" s="421" t="s">
        <v>395</v>
      </c>
      <c r="C15" s="410">
        <v>2</v>
      </c>
      <c r="D15" s="411" t="s">
        <v>313</v>
      </c>
      <c r="E15" s="411">
        <v>13</v>
      </c>
      <c r="F15" s="412" t="s">
        <v>320</v>
      </c>
      <c r="G15" s="410">
        <v>7</v>
      </c>
      <c r="H15" s="411" t="s">
        <v>313</v>
      </c>
      <c r="I15" s="411">
        <v>13</v>
      </c>
      <c r="J15" s="412" t="s">
        <v>326</v>
      </c>
      <c r="K15" s="410">
        <v>13</v>
      </c>
      <c r="L15" s="411" t="s">
        <v>313</v>
      </c>
      <c r="M15" s="411">
        <v>7</v>
      </c>
      <c r="N15" s="412" t="s">
        <v>315</v>
      </c>
      <c r="O15" s="410">
        <v>13</v>
      </c>
      <c r="P15" s="411" t="s">
        <v>313</v>
      </c>
      <c r="Q15" s="411">
        <v>3</v>
      </c>
      <c r="R15" s="412" t="s">
        <v>328</v>
      </c>
      <c r="S15" s="410"/>
      <c r="T15" s="411"/>
      <c r="U15" s="411"/>
      <c r="V15" s="412"/>
      <c r="W15" s="413">
        <f t="shared" si="0"/>
        <v>2</v>
      </c>
      <c r="X15" s="414">
        <v>12</v>
      </c>
      <c r="Y15" s="414">
        <v>42</v>
      </c>
      <c r="Z15" s="410">
        <f t="shared" si="1"/>
        <v>35</v>
      </c>
      <c r="AA15" s="411" t="s">
        <v>313</v>
      </c>
      <c r="AB15" s="415">
        <f t="shared" si="2"/>
        <v>36</v>
      </c>
      <c r="AC15" s="416">
        <f t="shared" si="3"/>
        <v>-1</v>
      </c>
      <c r="AD15" s="417">
        <f t="shared" si="12"/>
        <v>60</v>
      </c>
      <c r="AE15" s="418">
        <f>IFERROR(INDEX(V!$R:$R,MATCH(AF15,V!$L:$L,0)),"")</f>
        <v>22</v>
      </c>
      <c r="AF15" s="419" t="str">
        <f t="shared" si="5"/>
        <v>Lemmit Toomra</v>
      </c>
      <c r="AG15" s="418">
        <f>IFERROR(INDEX(V!$R:$R,MATCH(AH15,V!$L:$L,0)),"")</f>
        <v>38</v>
      </c>
      <c r="AH15" s="419" t="str">
        <f t="shared" si="6"/>
        <v>Tõnu Kapper</v>
      </c>
      <c r="AI15" s="418" t="str">
        <f>IFERROR(INDEX(V!$R:$R,MATCH(AJ15,V!$L:$L,0)),"")</f>
        <v/>
      </c>
      <c r="AJ15" s="419" t="str">
        <f t="shared" si="7"/>
        <v/>
      </c>
      <c r="AK15" s="418" t="str">
        <f>IFERROR(INDEX(V!$R:$R,MATCH(AL15,V!$L:$L,0)),"")</f>
        <v/>
      </c>
      <c r="AL15" s="419" t="str">
        <f t="shared" si="8"/>
        <v/>
      </c>
      <c r="AM15" s="418" t="str">
        <f>IFERROR(INDEX(V!$R:$R,MATCH(AN15,V!$L:$L,0)),"")</f>
        <v/>
      </c>
      <c r="AN15" s="419" t="str">
        <f t="shared" si="9"/>
        <v/>
      </c>
      <c r="AO15" s="418" t="str">
        <f>IFERROR(INDEX(V!$R:$R,MATCH(AP15,V!$L:$L,0)),"")</f>
        <v/>
      </c>
      <c r="AP15" s="419" t="str">
        <f t="shared" si="10"/>
        <v/>
      </c>
    </row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6" hidden="1" x14ac:dyDescent="0.2"/>
    <row r="290" spans="1:6" hidden="1" x14ac:dyDescent="0.2"/>
    <row r="291" spans="1:6" hidden="1" x14ac:dyDescent="0.2"/>
    <row r="292" spans="1:6" hidden="1" x14ac:dyDescent="0.2"/>
    <row r="293" spans="1:6" hidden="1" x14ac:dyDescent="0.2"/>
    <row r="294" spans="1:6" hidden="1" x14ac:dyDescent="0.2"/>
    <row r="295" spans="1:6" hidden="1" x14ac:dyDescent="0.2"/>
    <row r="296" spans="1:6" hidden="1" x14ac:dyDescent="0.2"/>
    <row r="297" spans="1:6" hidden="1" x14ac:dyDescent="0.2"/>
    <row r="298" spans="1:6" hidden="1" x14ac:dyDescent="0.2"/>
    <row r="299" spans="1:6" x14ac:dyDescent="0.2">
      <c r="A299" s="378"/>
      <c r="B299" s="378"/>
      <c r="C299" s="423" t="s">
        <v>316</v>
      </c>
      <c r="F299" s="424"/>
    </row>
    <row r="300" spans="1:6" x14ac:dyDescent="0.2">
      <c r="A300" s="425">
        <v>1</v>
      </c>
      <c r="B300" s="426" t="str">
        <f t="shared" ref="B300:B308" si="13">IFERROR(INDEX(B$1:B$95,MATCH(A300,A$1:A$95,0)),"")</f>
        <v>Andres Veski, Svetlana Veski</v>
      </c>
      <c r="C300" s="427">
        <f>LARGE(A300:A400,1)*2+2-A300*2</f>
        <v>18</v>
      </c>
      <c r="F300" s="424"/>
    </row>
    <row r="301" spans="1:6" x14ac:dyDescent="0.2">
      <c r="A301" s="425">
        <v>2</v>
      </c>
      <c r="B301" s="426" t="str">
        <f t="shared" si="13"/>
        <v>Ivar Viljaste, Kaspar Mänd</v>
      </c>
      <c r="C301" s="427">
        <f t="shared" ref="C301:C308" si="14">LARGE(A301:A401,1)*2+2-A301*2</f>
        <v>16</v>
      </c>
      <c r="F301" s="424"/>
    </row>
    <row r="302" spans="1:6" x14ac:dyDescent="0.2">
      <c r="A302" s="425">
        <v>3</v>
      </c>
      <c r="B302" s="426" t="str">
        <f t="shared" si="13"/>
        <v>Boriss Klubov, Elmo Lageda</v>
      </c>
      <c r="C302" s="427">
        <f t="shared" si="14"/>
        <v>14</v>
      </c>
      <c r="F302" s="424"/>
    </row>
    <row r="303" spans="1:6" x14ac:dyDescent="0.2">
      <c r="A303" s="425">
        <v>4</v>
      </c>
      <c r="B303" s="426" t="str">
        <f t="shared" si="13"/>
        <v>Marko Rooden, Martin Kuusmann</v>
      </c>
      <c r="C303" s="427">
        <f t="shared" si="14"/>
        <v>12</v>
      </c>
      <c r="F303" s="424"/>
    </row>
    <row r="304" spans="1:6" x14ac:dyDescent="0.2">
      <c r="A304" s="425">
        <v>5</v>
      </c>
      <c r="B304" s="426" t="str">
        <f t="shared" si="13"/>
        <v>Aleksander Korikov, Sander Rose</v>
      </c>
      <c r="C304" s="427">
        <f t="shared" si="14"/>
        <v>10</v>
      </c>
      <c r="F304" s="424"/>
    </row>
    <row r="305" spans="1:6" x14ac:dyDescent="0.2">
      <c r="A305" s="425">
        <v>6</v>
      </c>
      <c r="B305" s="426" t="str">
        <f t="shared" si="13"/>
        <v>Kristel Tihhonjuk, Vadim Tihhonjuk</v>
      </c>
      <c r="C305" s="427">
        <f t="shared" si="14"/>
        <v>8</v>
      </c>
      <c r="F305" s="424"/>
    </row>
    <row r="306" spans="1:6" x14ac:dyDescent="0.2">
      <c r="A306" s="425">
        <v>7</v>
      </c>
      <c r="B306" s="426" t="str">
        <f t="shared" si="13"/>
        <v>Andrei Grintšak, Jaan Saar</v>
      </c>
      <c r="C306" s="427">
        <f t="shared" si="14"/>
        <v>6</v>
      </c>
      <c r="F306" s="424"/>
    </row>
    <row r="307" spans="1:6" x14ac:dyDescent="0.2">
      <c r="A307" s="425">
        <v>8</v>
      </c>
      <c r="B307" s="426" t="str">
        <f t="shared" si="13"/>
        <v>Johannes Neiland, Urmas Randlaine</v>
      </c>
      <c r="C307" s="427">
        <f t="shared" si="14"/>
        <v>4</v>
      </c>
      <c r="F307" s="424"/>
    </row>
    <row r="308" spans="1:6" x14ac:dyDescent="0.2">
      <c r="A308" s="425">
        <v>9</v>
      </c>
      <c r="B308" s="426" t="str">
        <f t="shared" si="13"/>
        <v>Lemmit Toomra, Tõnu Kapper</v>
      </c>
      <c r="C308" s="427">
        <f t="shared" si="14"/>
        <v>2</v>
      </c>
      <c r="F308" s="424"/>
    </row>
  </sheetData>
  <conditionalFormatting sqref="AJ7:AJ15 AH7:AH15 AL7:AL15">
    <cfRule type="expression" dxfId="301" priority="36">
      <formula>AND(AG7="",FIND(",",AH7))</formula>
    </cfRule>
    <cfRule type="expression" dxfId="300" priority="38">
      <formula>AND(AG7="",COUNTIF(AH7,"*,*")=0)</formula>
    </cfRule>
  </conditionalFormatting>
  <conditionalFormatting sqref="AF7:AF15">
    <cfRule type="expression" dxfId="299" priority="37">
      <formula>AND(AE7="",COUNTIF(AF7,"*,*")=0)</formula>
    </cfRule>
  </conditionalFormatting>
  <conditionalFormatting sqref="AN7:AN15 AP7:AP15">
    <cfRule type="expression" dxfId="298" priority="34">
      <formula>AND(AM7="",COUNTIF(AN7,"*,*")=0)</formula>
    </cfRule>
    <cfRule type="expression" dxfId="297" priority="35">
      <formula>AND(AM7="",FIND(",",AN7))</formula>
    </cfRule>
  </conditionalFormatting>
  <conditionalFormatting sqref="B300:B308">
    <cfRule type="expression" dxfId="296" priority="39">
      <formula>A300=3</formula>
    </cfRule>
    <cfRule type="expression" dxfId="295" priority="40">
      <formula>A300=2</formula>
    </cfRule>
    <cfRule type="expression" dxfId="294" priority="41">
      <formula>A300=1</formula>
    </cfRule>
    <cfRule type="containsBlanks" dxfId="293" priority="42">
      <formula>LEN(TRIM(B300))=0</formula>
    </cfRule>
    <cfRule type="duplicateValues" dxfId="292" priority="43"/>
  </conditionalFormatting>
  <conditionalFormatting sqref="A7:A15">
    <cfRule type="duplicateValues" dxfId="291" priority="33"/>
  </conditionalFormatting>
  <conditionalFormatting sqref="C7:C15">
    <cfRule type="expression" dxfId="290" priority="15">
      <formula>IF($C7&gt;$E7,TRUE)</formula>
    </cfRule>
  </conditionalFormatting>
  <conditionalFormatting sqref="E7:E15">
    <cfRule type="expression" dxfId="289" priority="16">
      <formula>IF($C7&lt;$E7,TRUE)</formula>
    </cfRule>
  </conditionalFormatting>
  <conditionalFormatting sqref="K7:K15">
    <cfRule type="expression" dxfId="288" priority="23">
      <formula>IF($K7&gt;$M7,TRUE)</formula>
    </cfRule>
  </conditionalFormatting>
  <conditionalFormatting sqref="M7:M15">
    <cfRule type="expression" dxfId="287" priority="24">
      <formula>IF($K7&lt;$M7,TRUE)</formula>
    </cfRule>
  </conditionalFormatting>
  <conditionalFormatting sqref="O7:O15">
    <cfRule type="expression" dxfId="286" priority="27">
      <formula>IF($O7&gt;$Q7,TRUE)</formula>
    </cfRule>
  </conditionalFormatting>
  <conditionalFormatting sqref="Q7:Q15">
    <cfRule type="expression" dxfId="285" priority="28">
      <formula>IF($O7&lt;$Q7,TRUE)</formula>
    </cfRule>
  </conditionalFormatting>
  <conditionalFormatting sqref="S7:S15">
    <cfRule type="expression" dxfId="284" priority="31">
      <formula>IF($S7&gt;$U7,TRUE)</formula>
    </cfRule>
  </conditionalFormatting>
  <conditionalFormatting sqref="U7:U15">
    <cfRule type="expression" dxfId="283" priority="32">
      <formula>IF($S7&lt;$U7,TRUE)</formula>
    </cfRule>
  </conditionalFormatting>
  <conditionalFormatting sqref="G7:G15">
    <cfRule type="expression" dxfId="282" priority="19">
      <formula>IF($G7&gt;$I7,TRUE)</formula>
    </cfRule>
  </conditionalFormatting>
  <conditionalFormatting sqref="I7:I15">
    <cfRule type="expression" dxfId="281" priority="20">
      <formula>IF($G7&lt;$I7,TRUE)</formula>
    </cfRule>
  </conditionalFormatting>
  <conditionalFormatting sqref="F7:F15">
    <cfRule type="containsText" dxfId="280" priority="6" operator="containsText" text="vaba voor">
      <formula>NOT(ISERROR(SEARCH("vaba voor",F7)))</formula>
    </cfRule>
  </conditionalFormatting>
  <conditionalFormatting sqref="N7:N15">
    <cfRule type="containsText" dxfId="279" priority="4" operator="containsText" text="vaba voor">
      <formula>NOT(ISERROR(SEARCH("vaba voor",N7)))</formula>
    </cfRule>
  </conditionalFormatting>
  <conditionalFormatting sqref="R7:R15">
    <cfRule type="containsText" dxfId="278" priority="7" operator="containsText" text="vaba voor">
      <formula>NOT(ISERROR(SEARCH("vaba voor",R7)))</formula>
    </cfRule>
  </conditionalFormatting>
  <conditionalFormatting sqref="V7:V15">
    <cfRule type="containsText" dxfId="277" priority="3" operator="containsText" text="vaba voor">
      <formula>NOT(ISERROR(SEARCH("vaba voor",V7)))</formula>
    </cfRule>
  </conditionalFormatting>
  <conditionalFormatting sqref="J7:J15">
    <cfRule type="containsText" dxfId="276" priority="5" operator="containsText" text="vaba voor">
      <formula>NOT(ISERROR(SEARCH("vaba voor",J7)))</formula>
    </cfRule>
  </conditionalFormatting>
  <conditionalFormatting sqref="C7:F15">
    <cfRule type="expression" dxfId="275" priority="11">
      <formula>IF(AND(ISNUMBER($C7),$C7=$E7),TRUE)</formula>
    </cfRule>
    <cfRule type="expression" dxfId="274" priority="13">
      <formula>IF($C7&gt;$E7,TRUE)</formula>
    </cfRule>
    <cfRule type="expression" dxfId="273" priority="14">
      <formula>IF($C7&lt;$E7,TRUE)</formula>
    </cfRule>
  </conditionalFormatting>
  <conditionalFormatting sqref="G7:J15">
    <cfRule type="expression" dxfId="272" priority="12">
      <formula>IF(AND(ISNUMBER($G7),$G7=$I7),TRUE)</formula>
    </cfRule>
    <cfRule type="expression" dxfId="271" priority="17">
      <formula>IF($G7&gt;$I7,TRUE)</formula>
    </cfRule>
    <cfRule type="expression" dxfId="270" priority="18">
      <formula>IF($G7&lt;$I7,TRUE)</formula>
    </cfRule>
  </conditionalFormatting>
  <conditionalFormatting sqref="K7:N15">
    <cfRule type="expression" dxfId="269" priority="10">
      <formula>IF(AND(ISNUMBER($K7),$K7=$M7),TRUE)</formula>
    </cfRule>
    <cfRule type="expression" dxfId="268" priority="21">
      <formula>IF($K7&gt;$M7,TRUE)</formula>
    </cfRule>
    <cfRule type="expression" dxfId="267" priority="22">
      <formula>IF($K7&lt;$M7,TRUE)</formula>
    </cfRule>
  </conditionalFormatting>
  <conditionalFormatting sqref="O7:R15">
    <cfRule type="expression" dxfId="266" priority="9">
      <formula>IF(AND(ISNUMBER($O7),$O7=$Q7),TRUE)</formula>
    </cfRule>
    <cfRule type="expression" dxfId="265" priority="25">
      <formula>IF($O7&gt;$Q7,TRUE)</formula>
    </cfRule>
    <cfRule type="expression" dxfId="264" priority="26">
      <formula>IF($O7&lt;$Q7,TRUE)</formula>
    </cfRule>
  </conditionalFormatting>
  <conditionalFormatting sqref="S7:V15">
    <cfRule type="expression" dxfId="263" priority="8">
      <formula>IF(AND(ISNUMBER($S7),$S7=$U7),TRUE)</formula>
    </cfRule>
    <cfRule type="expression" dxfId="262" priority="29">
      <formula>IF($S7&gt;$U7,TRUE)</formula>
    </cfRule>
    <cfRule type="expression" dxfId="261" priority="30">
      <formula>IF($S7&lt;$U7,TRUE)</formula>
    </cfRule>
  </conditionalFormatting>
  <conditionalFormatting sqref="C7:C15 G7:G15 K7:K15 O7:O15 S7:S15">
    <cfRule type="expression" dxfId="260" priority="1">
      <formula>AND(C7=0,E7=13)</formula>
    </cfRule>
  </conditionalFormatting>
  <conditionalFormatting sqref="E7:E15 I7:I15 M7:M15 Q7:Q15 U7:U15">
    <cfRule type="expression" dxfId="259" priority="2">
      <formula>AND(E7=0,C7=13)</formula>
    </cfRule>
  </conditionalFormatting>
  <pageMargins left="0.39370078740157483" right="0.39370078740157483" top="0.78740157480314965" bottom="0.39370078740157483" header="0.78740157480314965" footer="0"/>
  <pageSetup paperSize="9" fitToHeight="0" orientation="landscape" verticalDpi="1200" r:id="rId1"/>
  <headerFooter>
    <oddHeader>&amp;R&amp;P. leht &amp;N&amp; -st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P313"/>
  <sheetViews>
    <sheetView showGridLines="0" showRowColHeaders="0" workbookViewId="0">
      <pane ySplit="1" topLeftCell="A2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1" width="3.28515625" style="377" customWidth="1"/>
    <col min="2" max="2" width="31.5703125" style="377" bestFit="1" customWidth="1"/>
    <col min="3" max="3" width="4.7109375" style="377" customWidth="1"/>
    <col min="4" max="4" width="1.140625" style="377" customWidth="1"/>
    <col min="5" max="5" width="2.7109375" style="377" customWidth="1"/>
    <col min="6" max="6" width="9.140625" style="377"/>
    <col min="7" max="7" width="2.7109375" style="377" customWidth="1"/>
    <col min="8" max="8" width="1.140625" style="377" customWidth="1"/>
    <col min="9" max="9" width="2.7109375" style="377" customWidth="1"/>
    <col min="10" max="10" width="9.140625" style="377"/>
    <col min="11" max="11" width="2.7109375" style="377" customWidth="1"/>
    <col min="12" max="12" width="1.140625" style="377" customWidth="1"/>
    <col min="13" max="13" width="2.7109375" style="377" customWidth="1"/>
    <col min="14" max="14" width="9.140625" style="377"/>
    <col min="15" max="15" width="2.7109375" style="377" customWidth="1"/>
    <col min="16" max="16" width="1.140625" style="377" customWidth="1"/>
    <col min="17" max="17" width="2.7109375" style="377" customWidth="1"/>
    <col min="18" max="18" width="9.140625" style="377"/>
    <col min="19" max="19" width="2.7109375" style="377" hidden="1" customWidth="1"/>
    <col min="20" max="20" width="1.140625" style="377" hidden="1" customWidth="1"/>
    <col min="21" max="21" width="2.7109375" style="377" hidden="1" customWidth="1"/>
    <col min="22" max="22" width="0" style="377" hidden="1" customWidth="1"/>
    <col min="23" max="23" width="5.7109375" style="377" customWidth="1"/>
    <col min="24" max="24" width="5.5703125" style="377" customWidth="1"/>
    <col min="25" max="25" width="7.42578125" style="377" customWidth="1"/>
    <col min="26" max="26" width="2.7109375" style="377" customWidth="1"/>
    <col min="27" max="27" width="1.140625" style="377" customWidth="1"/>
    <col min="28" max="28" width="2.7109375" style="377" customWidth="1"/>
    <col min="29" max="29" width="4.7109375" style="377" customWidth="1"/>
    <col min="30" max="31" width="9.140625" style="377" hidden="1" customWidth="1"/>
    <col min="32" max="32" width="17" style="377" hidden="1" customWidth="1"/>
    <col min="33" max="33" width="9.140625" style="377" hidden="1" customWidth="1"/>
    <col min="34" max="34" width="26.85546875" style="377" hidden="1" customWidth="1"/>
    <col min="35" max="35" width="9.140625" style="377" hidden="1" customWidth="1"/>
    <col min="36" max="36" width="17.28515625" style="377" hidden="1" customWidth="1"/>
    <col min="37" max="37" width="9.140625" style="377" hidden="1" customWidth="1"/>
    <col min="38" max="38" width="13.85546875" style="377" hidden="1" customWidth="1"/>
    <col min="39" max="39" width="9.140625" style="377" hidden="1" customWidth="1"/>
    <col min="40" max="40" width="17.28515625" style="377" hidden="1" customWidth="1"/>
    <col min="41" max="41" width="9.140625" style="377" hidden="1" customWidth="1"/>
    <col min="42" max="42" width="13.85546875" style="377" hidden="1" customWidth="1"/>
    <col min="43" max="16384" width="9.140625" style="377"/>
  </cols>
  <sheetData>
    <row r="1" spans="1:42" x14ac:dyDescent="0.2">
      <c r="A1" s="376" t="str">
        <f>UPPER((Kalend!E30)&amp;" - "&amp;(Kalend!C30))&amp;" - "&amp;LOWER(Kalend!D30)&amp;" - "&amp;(Kalend!A30)&amp;" kell "&amp;(Kalend!B30)&amp;" - "&amp;(Kalend!F30)</f>
        <v>V9 - VOKA X KV 9. ETAPP - duo - K, 23.08.2023 kell 18:00 - Voka staadion</v>
      </c>
      <c r="O1" s="378"/>
      <c r="P1" s="378"/>
      <c r="Q1" s="379"/>
      <c r="R1" s="379"/>
      <c r="S1" s="379"/>
      <c r="T1" s="380"/>
      <c r="U1" s="380"/>
      <c r="V1" s="380"/>
      <c r="W1" s="378"/>
      <c r="X1" s="381"/>
      <c r="Y1" s="378"/>
      <c r="Z1" s="378"/>
      <c r="AD1" s="382" t="s">
        <v>133</v>
      </c>
      <c r="AE1" s="383"/>
      <c r="AF1" s="383"/>
      <c r="AG1" s="383"/>
      <c r="AH1" s="383"/>
      <c r="AI1" s="383"/>
      <c r="AJ1" s="383"/>
      <c r="AK1" s="383"/>
      <c r="AL1" s="383"/>
      <c r="AM1" s="383"/>
      <c r="AN1" s="383"/>
      <c r="AO1" s="384"/>
      <c r="AP1" s="384"/>
    </row>
    <row r="2" spans="1:42" x14ac:dyDescent="0.2">
      <c r="A2" s="385"/>
      <c r="F2" s="378"/>
      <c r="L2" s="386"/>
      <c r="M2" s="386"/>
      <c r="N2" s="386"/>
      <c r="O2" s="378"/>
      <c r="P2" s="378"/>
      <c r="Q2" s="378"/>
      <c r="R2" s="387" t="s">
        <v>292</v>
      </c>
      <c r="S2" s="378"/>
      <c r="T2" s="386"/>
      <c r="U2" s="386"/>
      <c r="V2" s="386"/>
      <c r="W2" s="388">
        <v>1</v>
      </c>
      <c r="X2" s="389" t="s">
        <v>293</v>
      </c>
      <c r="Y2" s="378"/>
      <c r="Z2" s="378"/>
      <c r="AA2" s="378"/>
      <c r="AB2" s="378"/>
      <c r="AE2" s="378"/>
      <c r="AG2" s="378"/>
      <c r="AH2" s="378"/>
      <c r="AI2" s="378"/>
      <c r="AJ2" s="378"/>
      <c r="AK2" s="378"/>
      <c r="AL2" s="378"/>
      <c r="AM2" s="378"/>
      <c r="AN2" s="378"/>
    </row>
    <row r="3" spans="1:42" x14ac:dyDescent="0.2">
      <c r="A3" s="385"/>
      <c r="F3" s="378"/>
      <c r="L3" s="378"/>
      <c r="M3" s="378"/>
      <c r="N3" s="378"/>
      <c r="O3" s="378"/>
      <c r="P3" s="378"/>
      <c r="Q3" s="378"/>
      <c r="R3" s="390" t="s">
        <v>294</v>
      </c>
      <c r="S3" s="378"/>
      <c r="T3" s="378"/>
      <c r="U3" s="378"/>
      <c r="V3" s="378"/>
      <c r="W3" s="388">
        <v>0.5</v>
      </c>
      <c r="X3" s="389" t="s">
        <v>293</v>
      </c>
      <c r="Y3" s="378"/>
      <c r="Z3" s="378"/>
      <c r="AA3" s="378"/>
      <c r="AB3" s="378"/>
      <c r="AE3" s="386"/>
      <c r="AF3" s="386"/>
      <c r="AG3" s="386"/>
      <c r="AH3" s="391"/>
      <c r="AI3" s="386"/>
      <c r="AJ3" s="386"/>
      <c r="AK3" s="386"/>
      <c r="AL3" s="386"/>
      <c r="AM3" s="386"/>
      <c r="AN3" s="386"/>
      <c r="AO3" s="386"/>
      <c r="AP3" s="386"/>
    </row>
    <row r="4" spans="1:42" x14ac:dyDescent="0.2">
      <c r="F4" s="378"/>
      <c r="L4" s="378"/>
      <c r="M4" s="378"/>
      <c r="N4" s="378"/>
      <c r="O4" s="378"/>
      <c r="P4" s="378"/>
      <c r="Q4" s="378"/>
      <c r="R4" s="392" t="s">
        <v>295</v>
      </c>
      <c r="S4" s="378"/>
      <c r="T4" s="378"/>
      <c r="U4" s="378"/>
      <c r="V4" s="378"/>
      <c r="W4" s="388">
        <v>0</v>
      </c>
      <c r="X4" s="389" t="s">
        <v>293</v>
      </c>
      <c r="Y4" s="378"/>
      <c r="Z4" s="378"/>
      <c r="AA4" s="378"/>
      <c r="AB4" s="378"/>
    </row>
    <row r="5" spans="1:42" x14ac:dyDescent="0.2">
      <c r="F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W5" s="378"/>
      <c r="X5" s="378"/>
      <c r="Y5" s="378"/>
      <c r="Z5" s="378"/>
      <c r="AA5" s="378"/>
      <c r="AB5" s="393" t="s">
        <v>296</v>
      </c>
      <c r="AD5" s="394" t="s">
        <v>297</v>
      </c>
    </row>
    <row r="6" spans="1:42" x14ac:dyDescent="0.2">
      <c r="A6" s="395" t="s">
        <v>157</v>
      </c>
      <c r="B6" s="395" t="s">
        <v>156</v>
      </c>
      <c r="C6" s="396" t="s">
        <v>298</v>
      </c>
      <c r="D6" s="397"/>
      <c r="E6" s="397"/>
      <c r="F6" s="398"/>
      <c r="G6" s="396" t="s">
        <v>299</v>
      </c>
      <c r="H6" s="397"/>
      <c r="I6" s="397"/>
      <c r="J6" s="398"/>
      <c r="K6" s="396" t="s">
        <v>300</v>
      </c>
      <c r="L6" s="397"/>
      <c r="M6" s="397"/>
      <c r="N6" s="398"/>
      <c r="O6" s="396" t="s">
        <v>301</v>
      </c>
      <c r="P6" s="397"/>
      <c r="Q6" s="397"/>
      <c r="R6" s="398"/>
      <c r="S6" s="396" t="s">
        <v>302</v>
      </c>
      <c r="T6" s="397"/>
      <c r="U6" s="397"/>
      <c r="V6" s="398"/>
      <c r="W6" s="395" t="s">
        <v>142</v>
      </c>
      <c r="X6" s="399" t="s">
        <v>303</v>
      </c>
      <c r="Y6" s="395" t="s">
        <v>304</v>
      </c>
      <c r="Z6" s="399"/>
      <c r="AA6" s="400" t="s">
        <v>305</v>
      </c>
      <c r="AB6" s="401"/>
      <c r="AC6" s="402" t="s">
        <v>306</v>
      </c>
      <c r="AD6" s="403" t="s">
        <v>261</v>
      </c>
      <c r="AE6" s="404"/>
      <c r="AF6" s="404" t="s">
        <v>307</v>
      </c>
      <c r="AG6" s="404"/>
      <c r="AH6" s="405" t="s">
        <v>308</v>
      </c>
      <c r="AI6" s="404"/>
      <c r="AJ6" s="404" t="s">
        <v>309</v>
      </c>
      <c r="AK6" s="406"/>
      <c r="AL6" s="404" t="s">
        <v>310</v>
      </c>
      <c r="AM6" s="406"/>
      <c r="AN6" s="406" t="s">
        <v>311</v>
      </c>
      <c r="AO6" s="407"/>
      <c r="AP6" s="406" t="s">
        <v>312</v>
      </c>
    </row>
    <row r="7" spans="1:42" x14ac:dyDescent="0.2">
      <c r="A7" s="408">
        <v>1</v>
      </c>
      <c r="B7" s="409" t="s">
        <v>408</v>
      </c>
      <c r="C7" s="410"/>
      <c r="D7" s="411" t="s">
        <v>313</v>
      </c>
      <c r="E7" s="411"/>
      <c r="F7" s="412"/>
      <c r="G7" s="410"/>
      <c r="H7" s="411" t="s">
        <v>313</v>
      </c>
      <c r="I7" s="411"/>
      <c r="J7" s="412"/>
      <c r="K7" s="410"/>
      <c r="L7" s="411" t="s">
        <v>313</v>
      </c>
      <c r="M7" s="411"/>
      <c r="N7" s="412"/>
      <c r="O7" s="410"/>
      <c r="P7" s="411" t="s">
        <v>313</v>
      </c>
      <c r="Q7" s="411"/>
      <c r="R7" s="412"/>
      <c r="S7" s="410"/>
      <c r="T7" s="411"/>
      <c r="U7" s="411"/>
      <c r="V7" s="412"/>
      <c r="W7" s="413">
        <f t="shared" ref="W7:W14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0</v>
      </c>
      <c r="X7" s="414"/>
      <c r="Y7" s="414"/>
      <c r="Z7" s="410">
        <f t="shared" ref="Z7:Z14" si="1">C7+G7+K7+O7+S7</f>
        <v>0</v>
      </c>
      <c r="AA7" s="411" t="s">
        <v>313</v>
      </c>
      <c r="AB7" s="415">
        <f t="shared" ref="AB7:AB14" si="2">E7+I7+M7+Q7+U7</f>
        <v>0</v>
      </c>
      <c r="AC7" s="416">
        <f t="shared" ref="AC7:AC14" si="3">Z7-AB7</f>
        <v>0</v>
      </c>
      <c r="AD7" s="417">
        <f t="shared" ref="AD7:AD10" si="4">SUM(AE7:AL7)</f>
        <v>364</v>
      </c>
      <c r="AE7" s="418">
        <f>IFERROR(INDEX(V!$R:$R,MATCH(AF7,V!$L:$L,0)),"")</f>
        <v>234</v>
      </c>
      <c r="AF7" s="419" t="str">
        <f t="shared" ref="AF7:AF20" si="5">IFERROR(LEFT($B7,(FIND(",",$B7,1)-1)),"")</f>
        <v>Kenneth Muusikus</v>
      </c>
      <c r="AG7" s="418">
        <f>IFERROR(INDEX(V!$R:$R,MATCH(AH7,V!$L:$L,0)),"")</f>
        <v>130</v>
      </c>
      <c r="AH7" s="419" t="str">
        <f t="shared" ref="AH7:AH20" si="6">IFERROR(MID($B7,FIND(", ",$B7)+2,256),"")</f>
        <v>Tõnis Neiland</v>
      </c>
      <c r="AI7" s="418" t="str">
        <f>IFERROR(INDEX(V!$R:$R,MATCH(AJ7,V!$L:$L,0)),"")</f>
        <v/>
      </c>
      <c r="AJ7" s="419" t="str">
        <f t="shared" ref="AJ7:AJ20" si="7">IFERROR(MID($B7,FIND("^",SUBSTITUTE($B7,", ","^",1))+2,FIND("^",SUBSTITUTE($B7,", ","^",2))-FIND("^",SUBSTITUTE($B7,", ","^",1))-2),"")</f>
        <v/>
      </c>
      <c r="AK7" s="418" t="str">
        <f>IFERROR(INDEX(V!$R:$R,MATCH(AL7,V!$L:$L,0)),"")</f>
        <v/>
      </c>
      <c r="AL7" s="419" t="str">
        <f t="shared" ref="AL7:AL20" si="8">IFERROR(MID($B7,FIND(", ",$B7,FIND(", ",$B7,FIND(", ",$B7))+1)+2,30000),"")</f>
        <v/>
      </c>
      <c r="AM7" s="418" t="str">
        <f>IFERROR(INDEX(V!$R:$R,MATCH(AN7,V!$L:$L,0)),"")</f>
        <v/>
      </c>
      <c r="AN7" s="419" t="str">
        <f t="shared" ref="AN7:AN20" si="9">IFERROR(MID($B7,FIND(", ",$B7,FIND(", ",$B7)+1)+2,FIND(", ",$B7,FIND(", ",$B7,FIND(", ",$B7)+1)+1)-FIND(", ",$B7,FIND(", ",$B7)+1)-2),"")</f>
        <v/>
      </c>
      <c r="AO7" s="418" t="str">
        <f>IFERROR(INDEX(V!$R:$R,MATCH(AP7,V!$L:$L,0)),"")</f>
        <v/>
      </c>
      <c r="AP7" s="419" t="str">
        <f t="shared" ref="AP7:AP20" si="10">IFERROR(MID($B7,FIND(", ",$B7,FIND(", ",$B7,FIND(", ",$B7)+1)+1)+2,30000),"")</f>
        <v/>
      </c>
    </row>
    <row r="8" spans="1:42" x14ac:dyDescent="0.2">
      <c r="A8" s="408">
        <v>2</v>
      </c>
      <c r="B8" s="409" t="s">
        <v>322</v>
      </c>
      <c r="C8" s="410"/>
      <c r="D8" s="411" t="s">
        <v>313</v>
      </c>
      <c r="E8" s="411"/>
      <c r="F8" s="412"/>
      <c r="G8" s="410"/>
      <c r="H8" s="411" t="s">
        <v>313</v>
      </c>
      <c r="I8" s="411"/>
      <c r="J8" s="412"/>
      <c r="K8" s="410"/>
      <c r="L8" s="411" t="s">
        <v>313</v>
      </c>
      <c r="M8" s="411"/>
      <c r="N8" s="412"/>
      <c r="O8" s="410"/>
      <c r="P8" s="411" t="s">
        <v>313</v>
      </c>
      <c r="Q8" s="411"/>
      <c r="R8" s="412"/>
      <c r="S8" s="410"/>
      <c r="T8" s="411"/>
      <c r="U8" s="411"/>
      <c r="V8" s="412"/>
      <c r="W8" s="413">
        <f t="shared" si="0"/>
        <v>0</v>
      </c>
      <c r="X8" s="414"/>
      <c r="Y8" s="414"/>
      <c r="Z8" s="410">
        <f t="shared" si="1"/>
        <v>0</v>
      </c>
      <c r="AA8" s="411" t="s">
        <v>313</v>
      </c>
      <c r="AB8" s="415">
        <f t="shared" si="2"/>
        <v>0</v>
      </c>
      <c r="AC8" s="416">
        <f t="shared" si="3"/>
        <v>0</v>
      </c>
      <c r="AD8" s="417">
        <f t="shared" si="4"/>
        <v>302</v>
      </c>
      <c r="AE8" s="418">
        <f>IFERROR(INDEX(V!$R:$R,MATCH(AF8,V!$L:$L,0)),"")</f>
        <v>152</v>
      </c>
      <c r="AF8" s="419" t="str">
        <f t="shared" si="5"/>
        <v>Andrei Grintšak</v>
      </c>
      <c r="AG8" s="418">
        <f>IFERROR(INDEX(V!$R:$R,MATCH(AH8,V!$L:$L,0)),"")</f>
        <v>150</v>
      </c>
      <c r="AH8" s="419" t="str">
        <f t="shared" si="6"/>
        <v>Enn Tokman</v>
      </c>
      <c r="AI8" s="418" t="str">
        <f>IFERROR(INDEX(V!$R:$R,MATCH(AJ8,V!$L:$L,0)),"")</f>
        <v/>
      </c>
      <c r="AJ8" s="419" t="str">
        <f t="shared" si="7"/>
        <v/>
      </c>
      <c r="AK8" s="418" t="str">
        <f>IFERROR(INDEX(V!$R:$R,MATCH(AL8,V!$L:$L,0)),"")</f>
        <v/>
      </c>
      <c r="AL8" s="419" t="str">
        <f t="shared" si="8"/>
        <v/>
      </c>
      <c r="AM8" s="418" t="str">
        <f>IFERROR(INDEX(V!$R:$R,MATCH(AN8,V!$L:$L,0)),"")</f>
        <v/>
      </c>
      <c r="AN8" s="419" t="str">
        <f t="shared" si="9"/>
        <v/>
      </c>
      <c r="AO8" s="418" t="str">
        <f>IFERROR(INDEX(V!$R:$R,MATCH(AP8,V!$L:$L,0)),"")</f>
        <v/>
      </c>
      <c r="AP8" s="419" t="str">
        <f t="shared" si="10"/>
        <v/>
      </c>
    </row>
    <row r="9" spans="1:42" x14ac:dyDescent="0.2">
      <c r="A9" s="408">
        <v>3</v>
      </c>
      <c r="B9" s="421" t="s">
        <v>323</v>
      </c>
      <c r="C9" s="410"/>
      <c r="D9" s="411" t="s">
        <v>313</v>
      </c>
      <c r="E9" s="411"/>
      <c r="F9" s="412"/>
      <c r="G9" s="410"/>
      <c r="H9" s="411" t="s">
        <v>313</v>
      </c>
      <c r="I9" s="411"/>
      <c r="J9" s="412"/>
      <c r="K9" s="410"/>
      <c r="L9" s="411" t="s">
        <v>313</v>
      </c>
      <c r="M9" s="411"/>
      <c r="N9" s="412"/>
      <c r="O9" s="410"/>
      <c r="P9" s="411" t="s">
        <v>313</v>
      </c>
      <c r="Q9" s="411"/>
      <c r="R9" s="412"/>
      <c r="S9" s="410"/>
      <c r="T9" s="411"/>
      <c r="U9" s="411"/>
      <c r="V9" s="412"/>
      <c r="W9" s="413">
        <f t="shared" si="0"/>
        <v>0</v>
      </c>
      <c r="X9" s="414"/>
      <c r="Y9" s="414"/>
      <c r="Z9" s="410">
        <f t="shared" si="1"/>
        <v>0</v>
      </c>
      <c r="AA9" s="411" t="s">
        <v>313</v>
      </c>
      <c r="AB9" s="415">
        <f t="shared" si="2"/>
        <v>0</v>
      </c>
      <c r="AC9" s="416">
        <f t="shared" si="3"/>
        <v>0</v>
      </c>
      <c r="AD9" s="417">
        <f t="shared" si="4"/>
        <v>308</v>
      </c>
      <c r="AE9" s="418">
        <f>IFERROR(INDEX(V!$R:$R,MATCH(AF9,V!$L:$L,0)),"")</f>
        <v>154</v>
      </c>
      <c r="AF9" s="419" t="str">
        <f t="shared" si="5"/>
        <v>Kristel Tihhonjuk</v>
      </c>
      <c r="AG9" s="418">
        <f>IFERROR(INDEX(V!$R:$R,MATCH(AH9,V!$L:$L,0)),"")</f>
        <v>154</v>
      </c>
      <c r="AH9" s="419" t="str">
        <f t="shared" si="6"/>
        <v>Vadim Tihhonjuk</v>
      </c>
      <c r="AI9" s="418" t="str">
        <f>IFERROR(INDEX(V!$R:$R,MATCH(AJ9,V!$L:$L,0)),"")</f>
        <v/>
      </c>
      <c r="AJ9" s="419" t="str">
        <f t="shared" si="7"/>
        <v/>
      </c>
      <c r="AK9" s="418" t="str">
        <f>IFERROR(INDEX(V!$R:$R,MATCH(AL9,V!$L:$L,0)),"")</f>
        <v/>
      </c>
      <c r="AL9" s="419" t="str">
        <f t="shared" si="8"/>
        <v/>
      </c>
      <c r="AM9" s="418" t="str">
        <f>IFERROR(INDEX(V!$R:$R,MATCH(AN9,V!$L:$L,0)),"")</f>
        <v/>
      </c>
      <c r="AN9" s="419" t="str">
        <f t="shared" si="9"/>
        <v/>
      </c>
      <c r="AO9" s="418" t="str">
        <f>IFERROR(INDEX(V!$R:$R,MATCH(AP9,V!$L:$L,0)),"")</f>
        <v/>
      </c>
      <c r="AP9" s="419" t="str">
        <f t="shared" si="10"/>
        <v/>
      </c>
    </row>
    <row r="10" spans="1:42" x14ac:dyDescent="0.2">
      <c r="A10" s="408">
        <v>4</v>
      </c>
      <c r="B10" s="421" t="s">
        <v>427</v>
      </c>
      <c r="C10" s="410"/>
      <c r="D10" s="411" t="s">
        <v>313</v>
      </c>
      <c r="E10" s="411"/>
      <c r="F10" s="412"/>
      <c r="G10" s="410"/>
      <c r="H10" s="411" t="s">
        <v>313</v>
      </c>
      <c r="I10" s="411"/>
      <c r="J10" s="412"/>
      <c r="K10" s="410"/>
      <c r="L10" s="411" t="s">
        <v>313</v>
      </c>
      <c r="M10" s="411"/>
      <c r="N10" s="412"/>
      <c r="O10" s="410"/>
      <c r="P10" s="411" t="s">
        <v>313</v>
      </c>
      <c r="Q10" s="411"/>
      <c r="R10" s="412"/>
      <c r="S10" s="410"/>
      <c r="T10" s="411"/>
      <c r="U10" s="411"/>
      <c r="V10" s="412"/>
      <c r="W10" s="413">
        <f t="shared" si="0"/>
        <v>0</v>
      </c>
      <c r="X10" s="414"/>
      <c r="Y10" s="414"/>
      <c r="Z10" s="410">
        <f t="shared" si="1"/>
        <v>0</v>
      </c>
      <c r="AA10" s="411" t="s">
        <v>313</v>
      </c>
      <c r="AB10" s="415">
        <f t="shared" si="2"/>
        <v>0</v>
      </c>
      <c r="AC10" s="416">
        <f t="shared" si="3"/>
        <v>0</v>
      </c>
      <c r="AD10" s="417">
        <f t="shared" si="4"/>
        <v>258</v>
      </c>
      <c r="AE10" s="418">
        <f>IFERROR(INDEX(V!$R:$R,MATCH(AF10,V!$L:$L,0)),"")</f>
        <v>142</v>
      </c>
      <c r="AF10" s="419" t="str">
        <f t="shared" si="5"/>
        <v>Olav Türk</v>
      </c>
      <c r="AG10" s="418">
        <f>IFERROR(INDEX(V!$R:$R,MATCH(AH10,V!$L:$L,0)),"")</f>
        <v>116</v>
      </c>
      <c r="AH10" s="419" t="str">
        <f t="shared" si="6"/>
        <v>Urmas Jõeäär</v>
      </c>
      <c r="AI10" s="418" t="str">
        <f>IFERROR(INDEX(V!$R:$R,MATCH(AJ10,V!$L:$L,0)),"")</f>
        <v/>
      </c>
      <c r="AJ10" s="419" t="str">
        <f t="shared" si="7"/>
        <v/>
      </c>
      <c r="AK10" s="418" t="str">
        <f>IFERROR(INDEX(V!$R:$R,MATCH(AL10,V!$L:$L,0)),"")</f>
        <v/>
      </c>
      <c r="AL10" s="419" t="str">
        <f t="shared" si="8"/>
        <v/>
      </c>
      <c r="AM10" s="418" t="str">
        <f>IFERROR(INDEX(V!$R:$R,MATCH(AN10,V!$L:$L,0)),"")</f>
        <v/>
      </c>
      <c r="AN10" s="419" t="str">
        <f t="shared" si="9"/>
        <v/>
      </c>
      <c r="AO10" s="418" t="str">
        <f>IFERROR(INDEX(V!$R:$R,MATCH(AP10,V!$L:$L,0)),"")</f>
        <v/>
      </c>
      <c r="AP10" s="419" t="str">
        <f t="shared" si="10"/>
        <v/>
      </c>
    </row>
    <row r="11" spans="1:42" x14ac:dyDescent="0.2">
      <c r="A11" s="408">
        <v>5</v>
      </c>
      <c r="B11" s="409" t="s">
        <v>406</v>
      </c>
      <c r="C11" s="410"/>
      <c r="D11" s="411" t="s">
        <v>313</v>
      </c>
      <c r="E11" s="411"/>
      <c r="F11" s="412"/>
      <c r="G11" s="410"/>
      <c r="H11" s="411" t="s">
        <v>313</v>
      </c>
      <c r="I11" s="411"/>
      <c r="J11" s="412"/>
      <c r="K11" s="410"/>
      <c r="L11" s="411" t="s">
        <v>313</v>
      </c>
      <c r="M11" s="411"/>
      <c r="N11" s="412"/>
      <c r="O11" s="410"/>
      <c r="P11" s="411" t="s">
        <v>313</v>
      </c>
      <c r="Q11" s="411"/>
      <c r="R11" s="412"/>
      <c r="S11" s="410"/>
      <c r="T11" s="411"/>
      <c r="U11" s="411"/>
      <c r="V11" s="412"/>
      <c r="W11" s="413">
        <f t="shared" si="0"/>
        <v>0</v>
      </c>
      <c r="X11" s="414"/>
      <c r="Y11" s="414"/>
      <c r="Z11" s="410">
        <f t="shared" si="1"/>
        <v>0</v>
      </c>
      <c r="AA11" s="411" t="s">
        <v>313</v>
      </c>
      <c r="AB11" s="415">
        <f t="shared" si="2"/>
        <v>0</v>
      </c>
      <c r="AC11" s="416">
        <f t="shared" si="3"/>
        <v>0</v>
      </c>
      <c r="AD11" s="417">
        <f t="shared" ref="AD11:AD13" si="11">SUM(AE11:AL11)</f>
        <v>234</v>
      </c>
      <c r="AE11" s="418">
        <f>IFERROR(INDEX(V!$R:$R,MATCH(AF11,V!$L:$L,0)),"")</f>
        <v>132</v>
      </c>
      <c r="AF11" s="419" t="str">
        <f t="shared" si="5"/>
        <v>Andres Veski</v>
      </c>
      <c r="AG11" s="418">
        <f>IFERROR(INDEX(V!$R:$R,MATCH(AH11,V!$L:$L,0)),"")</f>
        <v>102</v>
      </c>
      <c r="AH11" s="419" t="str">
        <f t="shared" si="6"/>
        <v>Svetlana Veski</v>
      </c>
      <c r="AI11" s="418" t="str">
        <f>IFERROR(INDEX(V!$R:$R,MATCH(AJ11,V!$L:$L,0)),"")</f>
        <v/>
      </c>
      <c r="AJ11" s="419" t="str">
        <f t="shared" si="7"/>
        <v/>
      </c>
      <c r="AK11" s="418" t="str">
        <f>IFERROR(INDEX(V!$R:$R,MATCH(AL11,V!$L:$L,0)),"")</f>
        <v/>
      </c>
      <c r="AL11" s="419" t="str">
        <f t="shared" si="8"/>
        <v/>
      </c>
      <c r="AM11" s="418" t="str">
        <f>IFERROR(INDEX(V!$R:$R,MATCH(AN11,V!$L:$L,0)),"")</f>
        <v/>
      </c>
      <c r="AN11" s="419" t="str">
        <f t="shared" si="9"/>
        <v/>
      </c>
      <c r="AO11" s="418" t="str">
        <f>IFERROR(INDEX(V!$R:$R,MATCH(AP11,V!$L:$L,0)),"")</f>
        <v/>
      </c>
      <c r="AP11" s="419" t="str">
        <f t="shared" si="10"/>
        <v/>
      </c>
    </row>
    <row r="12" spans="1:42" x14ac:dyDescent="0.2">
      <c r="A12" s="408">
        <v>6</v>
      </c>
      <c r="B12" s="421" t="s">
        <v>420</v>
      </c>
      <c r="C12" s="410"/>
      <c r="D12" s="411" t="s">
        <v>313</v>
      </c>
      <c r="E12" s="411"/>
      <c r="F12" s="412"/>
      <c r="G12" s="410"/>
      <c r="H12" s="411" t="s">
        <v>313</v>
      </c>
      <c r="I12" s="411"/>
      <c r="J12" s="412"/>
      <c r="K12" s="410"/>
      <c r="L12" s="411" t="s">
        <v>313</v>
      </c>
      <c r="M12" s="411"/>
      <c r="N12" s="412"/>
      <c r="O12" s="410"/>
      <c r="P12" s="411" t="s">
        <v>313</v>
      </c>
      <c r="Q12" s="411"/>
      <c r="R12" s="412"/>
      <c r="S12" s="410"/>
      <c r="T12" s="411"/>
      <c r="U12" s="411"/>
      <c r="V12" s="412"/>
      <c r="W12" s="413">
        <f t="shared" si="0"/>
        <v>0</v>
      </c>
      <c r="X12" s="414"/>
      <c r="Y12" s="414"/>
      <c r="Z12" s="410">
        <f t="shared" si="1"/>
        <v>0</v>
      </c>
      <c r="AA12" s="411" t="s">
        <v>313</v>
      </c>
      <c r="AB12" s="415">
        <f t="shared" si="2"/>
        <v>0</v>
      </c>
      <c r="AC12" s="416">
        <f t="shared" si="3"/>
        <v>0</v>
      </c>
      <c r="AD12" s="417">
        <f t="shared" si="11"/>
        <v>222</v>
      </c>
      <c r="AE12" s="418">
        <f>IFERROR(INDEX(V!$R:$R,MATCH(AF12,V!$L:$L,0)),"")</f>
        <v>94</v>
      </c>
      <c r="AF12" s="419" t="str">
        <f t="shared" si="5"/>
        <v>Johannes Neiland</v>
      </c>
      <c r="AG12" s="418">
        <f>IFERROR(INDEX(V!$R:$R,MATCH(AH12,V!$L:$L,0)),"")</f>
        <v>128</v>
      </c>
      <c r="AH12" s="419" t="str">
        <f t="shared" si="6"/>
        <v>Urmas Randlaine</v>
      </c>
      <c r="AI12" s="418" t="str">
        <f>IFERROR(INDEX(V!$R:$R,MATCH(AJ12,V!$L:$L,0)),"")</f>
        <v/>
      </c>
      <c r="AJ12" s="419" t="str">
        <f t="shared" si="7"/>
        <v/>
      </c>
      <c r="AK12" s="418" t="str">
        <f>IFERROR(INDEX(V!$R:$R,MATCH(AL12,V!$L:$L,0)),"")</f>
        <v/>
      </c>
      <c r="AL12" s="419" t="str">
        <f t="shared" si="8"/>
        <v/>
      </c>
      <c r="AM12" s="418" t="str">
        <f>IFERROR(INDEX(V!$R:$R,MATCH(AN12,V!$L:$L,0)),"")</f>
        <v/>
      </c>
      <c r="AN12" s="419" t="str">
        <f t="shared" si="9"/>
        <v/>
      </c>
      <c r="AO12" s="418" t="str">
        <f>IFERROR(INDEX(V!$R:$R,MATCH(AP12,V!$L:$L,0)),"")</f>
        <v/>
      </c>
      <c r="AP12" s="419" t="str">
        <f t="shared" si="10"/>
        <v/>
      </c>
    </row>
    <row r="13" spans="1:42" ht="25.5" x14ac:dyDescent="0.2">
      <c r="A13" s="408">
        <v>7</v>
      </c>
      <c r="B13" s="422" t="s">
        <v>451</v>
      </c>
      <c r="C13" s="410"/>
      <c r="D13" s="411" t="s">
        <v>313</v>
      </c>
      <c r="E13" s="411"/>
      <c r="F13" s="412"/>
      <c r="G13" s="410"/>
      <c r="H13" s="411" t="s">
        <v>313</v>
      </c>
      <c r="I13" s="411"/>
      <c r="J13" s="412"/>
      <c r="K13" s="410"/>
      <c r="L13" s="411" t="s">
        <v>313</v>
      </c>
      <c r="M13" s="411"/>
      <c r="N13" s="412"/>
      <c r="O13" s="410"/>
      <c r="P13" s="411" t="s">
        <v>313</v>
      </c>
      <c r="Q13" s="411"/>
      <c r="R13" s="412"/>
      <c r="S13" s="410"/>
      <c r="T13" s="411"/>
      <c r="U13" s="411"/>
      <c r="V13" s="412"/>
      <c r="W13" s="413">
        <f t="shared" si="0"/>
        <v>0</v>
      </c>
      <c r="X13" s="414"/>
      <c r="Y13" s="414"/>
      <c r="Z13" s="410">
        <f t="shared" si="1"/>
        <v>0</v>
      </c>
      <c r="AA13" s="411" t="s">
        <v>313</v>
      </c>
      <c r="AB13" s="415">
        <f t="shared" si="2"/>
        <v>0</v>
      </c>
      <c r="AC13" s="416">
        <f t="shared" si="3"/>
        <v>0</v>
      </c>
      <c r="AD13" s="417">
        <f t="shared" si="11"/>
        <v>488</v>
      </c>
      <c r="AE13" s="418">
        <f>IFERROR(INDEX(V!$R:$R,MATCH(AF13,V!$L:$L,0)),"")</f>
        <v>156</v>
      </c>
      <c r="AF13" s="419" t="str">
        <f t="shared" si="5"/>
        <v>Aleksander Korikov</v>
      </c>
      <c r="AG13" s="418" t="str">
        <f>IFERROR(INDEX(V!$R:$R,MATCH(AH13,V!$L:$L,0)),"")</f>
        <v/>
      </c>
      <c r="AH13" s="419" t="str">
        <f t="shared" si="6"/>
        <v>Oleg Rõndenkov, Sander Rose</v>
      </c>
      <c r="AI13" s="418">
        <f>IFERROR(INDEX(V!$R:$R,MATCH(AJ13,V!$L:$L,0)),"")</f>
        <v>166</v>
      </c>
      <c r="AJ13" s="419" t="str">
        <f t="shared" si="7"/>
        <v>Oleg Rõndenkov</v>
      </c>
      <c r="AK13" s="418">
        <f>IFERROR(INDEX(V!$R:$R,MATCH(AL13,V!$L:$L,0)),"")</f>
        <v>166</v>
      </c>
      <c r="AL13" s="419" t="str">
        <f t="shared" si="8"/>
        <v>Sander Rose</v>
      </c>
      <c r="AM13" s="418" t="str">
        <f>IFERROR(INDEX(V!$R:$R,MATCH(AN13,V!$L:$L,0)),"")</f>
        <v/>
      </c>
      <c r="AN13" s="419" t="str">
        <f t="shared" si="9"/>
        <v/>
      </c>
      <c r="AO13" s="418" t="str">
        <f>IFERROR(INDEX(V!$R:$R,MATCH(AP13,V!$L:$L,0)),"")</f>
        <v/>
      </c>
      <c r="AP13" s="419" t="str">
        <f t="shared" si="10"/>
        <v/>
      </c>
    </row>
    <row r="14" spans="1:42" x14ac:dyDescent="0.2">
      <c r="A14" s="408">
        <v>8</v>
      </c>
      <c r="B14" s="422" t="s">
        <v>425</v>
      </c>
      <c r="C14" s="410"/>
      <c r="D14" s="411" t="s">
        <v>313</v>
      </c>
      <c r="E14" s="411"/>
      <c r="F14" s="412"/>
      <c r="G14" s="410"/>
      <c r="H14" s="411" t="s">
        <v>313</v>
      </c>
      <c r="I14" s="411"/>
      <c r="J14" s="412"/>
      <c r="K14" s="410"/>
      <c r="L14" s="411" t="s">
        <v>313</v>
      </c>
      <c r="M14" s="411"/>
      <c r="N14" s="412"/>
      <c r="O14" s="410"/>
      <c r="P14" s="411" t="s">
        <v>313</v>
      </c>
      <c r="Q14" s="411"/>
      <c r="R14" s="412"/>
      <c r="S14" s="410"/>
      <c r="T14" s="411"/>
      <c r="U14" s="411"/>
      <c r="V14" s="412"/>
      <c r="W14" s="413">
        <f t="shared" si="0"/>
        <v>0</v>
      </c>
      <c r="X14" s="414"/>
      <c r="Y14" s="414"/>
      <c r="Z14" s="410">
        <f t="shared" si="1"/>
        <v>0</v>
      </c>
      <c r="AA14" s="411" t="s">
        <v>313</v>
      </c>
      <c r="AB14" s="415">
        <f t="shared" si="2"/>
        <v>0</v>
      </c>
      <c r="AC14" s="416">
        <f t="shared" si="3"/>
        <v>0</v>
      </c>
      <c r="AD14" s="417">
        <f t="shared" ref="AD14" si="12">SUM(AE14:AL14)</f>
        <v>190</v>
      </c>
      <c r="AE14" s="418">
        <f>IFERROR(INDEX(V!$R:$R,MATCH(AF14,V!$L:$L,0)),"")</f>
        <v>108</v>
      </c>
      <c r="AF14" s="419" t="str">
        <f t="shared" si="5"/>
        <v>Marko Rooden</v>
      </c>
      <c r="AG14" s="418">
        <f>IFERROR(INDEX(V!$R:$R,MATCH(AH14,V!$L:$L,0)),"")</f>
        <v>82</v>
      </c>
      <c r="AH14" s="419" t="str">
        <f t="shared" si="6"/>
        <v>Martin Kuusmann</v>
      </c>
      <c r="AI14" s="418" t="str">
        <f>IFERROR(INDEX(V!$R:$R,MATCH(AJ14,V!$L:$L,0)),"")</f>
        <v/>
      </c>
      <c r="AJ14" s="419" t="str">
        <f t="shared" si="7"/>
        <v/>
      </c>
      <c r="AK14" s="418" t="str">
        <f>IFERROR(INDEX(V!$R:$R,MATCH(AL14,V!$L:$L,0)),"")</f>
        <v/>
      </c>
      <c r="AL14" s="419" t="str">
        <f t="shared" si="8"/>
        <v/>
      </c>
      <c r="AM14" s="418" t="str">
        <f>IFERROR(INDEX(V!$R:$R,MATCH(AN14,V!$L:$L,0)),"")</f>
        <v/>
      </c>
      <c r="AN14" s="419" t="str">
        <f t="shared" si="9"/>
        <v/>
      </c>
      <c r="AO14" s="418" t="str">
        <f>IFERROR(INDEX(V!$R:$R,MATCH(AP14,V!$L:$L,0)),"")</f>
        <v/>
      </c>
      <c r="AP14" s="419" t="str">
        <f t="shared" si="10"/>
        <v/>
      </c>
    </row>
    <row r="15" spans="1:42" x14ac:dyDescent="0.2">
      <c r="A15" s="408">
        <v>9</v>
      </c>
      <c r="B15" s="422" t="s">
        <v>387</v>
      </c>
      <c r="C15" s="410"/>
      <c r="D15" s="411" t="s">
        <v>313</v>
      </c>
      <c r="E15" s="411"/>
      <c r="F15" s="412"/>
      <c r="G15" s="410"/>
      <c r="H15" s="411" t="s">
        <v>313</v>
      </c>
      <c r="I15" s="411"/>
      <c r="J15" s="412"/>
      <c r="K15" s="410"/>
      <c r="L15" s="411" t="s">
        <v>313</v>
      </c>
      <c r="M15" s="411"/>
      <c r="N15" s="412"/>
      <c r="O15" s="410"/>
      <c r="P15" s="411" t="s">
        <v>313</v>
      </c>
      <c r="Q15" s="411"/>
      <c r="R15" s="412"/>
      <c r="S15" s="410"/>
      <c r="T15" s="411"/>
      <c r="U15" s="411"/>
      <c r="V15" s="412"/>
      <c r="W15" s="413">
        <f t="shared" ref="W15:W20" si="13">IF(C15&gt;E15,W$2,IF(C15&lt;E15,W$4,IF(ISNUMBER(C15),W$3,0)))+IF(G15&gt;I15,W$2,IF(G15&lt;I15,W$4,IF(ISNUMBER(G15),W$3,0)))+IF(K15&gt;M15,W$2,IF(K15&lt;M15,W$4,IF(ISNUMBER(K15),W$3,0)))+IF(O15&gt;Q15,W$2,IF(O15&lt;Q15,W$4,IF(ISNUMBER(O15),W$3,0)))+IF(S15&gt;U15,W$2,IF(S15&lt;U15,W$4,IF(ISNUMBER(S15),W$3,0)))</f>
        <v>0</v>
      </c>
      <c r="X15" s="414"/>
      <c r="Y15" s="414"/>
      <c r="Z15" s="410">
        <f t="shared" ref="Z15:Z20" si="14">C15+G15+K15+O15+S15</f>
        <v>0</v>
      </c>
      <c r="AA15" s="411" t="s">
        <v>313</v>
      </c>
      <c r="AB15" s="415">
        <f t="shared" ref="AB15:AB20" si="15">E15+I15+M15+Q15+U15</f>
        <v>0</v>
      </c>
      <c r="AC15" s="416">
        <f t="shared" ref="AC15:AC20" si="16">Z15-AB15</f>
        <v>0</v>
      </c>
      <c r="AD15" s="417">
        <f t="shared" ref="AD15" si="17">SUM(AE15:AL15)</f>
        <v>226</v>
      </c>
      <c r="AE15" s="418">
        <f>IFERROR(INDEX(V!$R:$R,MATCH(AF15,V!$L:$L,0)),"")</f>
        <v>102</v>
      </c>
      <c r="AF15" s="419" t="str">
        <f t="shared" si="5"/>
        <v>Ljudmila Varendi</v>
      </c>
      <c r="AG15" s="418">
        <f>IFERROR(INDEX(V!$R:$R,MATCH(AH15,V!$L:$L,0)),"")</f>
        <v>124</v>
      </c>
      <c r="AH15" s="419" t="str">
        <f t="shared" si="6"/>
        <v>Viktor Švarõgin</v>
      </c>
      <c r="AI15" s="418" t="str">
        <f>IFERROR(INDEX(V!$R:$R,MATCH(AJ15,V!$L:$L,0)),"")</f>
        <v/>
      </c>
      <c r="AJ15" s="419" t="str">
        <f t="shared" si="7"/>
        <v/>
      </c>
      <c r="AK15" s="418" t="str">
        <f>IFERROR(INDEX(V!$R:$R,MATCH(AL15,V!$L:$L,0)),"")</f>
        <v/>
      </c>
      <c r="AL15" s="419" t="str">
        <f t="shared" si="8"/>
        <v/>
      </c>
      <c r="AM15" s="418" t="str">
        <f>IFERROR(INDEX(V!$R:$R,MATCH(AN15,V!$L:$L,0)),"")</f>
        <v/>
      </c>
      <c r="AN15" s="419" t="str">
        <f t="shared" si="9"/>
        <v/>
      </c>
      <c r="AO15" s="418" t="str">
        <f>IFERROR(INDEX(V!$R:$R,MATCH(AP15,V!$L:$L,0)),"")</f>
        <v/>
      </c>
      <c r="AP15" s="419" t="str">
        <f t="shared" si="10"/>
        <v/>
      </c>
    </row>
    <row r="16" spans="1:42" x14ac:dyDescent="0.2">
      <c r="A16" s="408">
        <v>10</v>
      </c>
      <c r="B16" s="422" t="s">
        <v>386</v>
      </c>
      <c r="C16" s="410"/>
      <c r="D16" s="411" t="s">
        <v>313</v>
      </c>
      <c r="E16" s="411"/>
      <c r="F16" s="412"/>
      <c r="G16" s="410"/>
      <c r="H16" s="411" t="s">
        <v>313</v>
      </c>
      <c r="I16" s="411"/>
      <c r="J16" s="412"/>
      <c r="K16" s="410"/>
      <c r="L16" s="411" t="s">
        <v>313</v>
      </c>
      <c r="M16" s="411"/>
      <c r="N16" s="412"/>
      <c r="O16" s="410"/>
      <c r="P16" s="411" t="s">
        <v>313</v>
      </c>
      <c r="Q16" s="411"/>
      <c r="R16" s="412"/>
      <c r="S16" s="410"/>
      <c r="T16" s="411"/>
      <c r="U16" s="411"/>
      <c r="V16" s="412"/>
      <c r="W16" s="413">
        <f t="shared" si="13"/>
        <v>0</v>
      </c>
      <c r="X16" s="414"/>
      <c r="Y16" s="414"/>
      <c r="Z16" s="410">
        <f t="shared" si="14"/>
        <v>0</v>
      </c>
      <c r="AA16" s="411" t="s">
        <v>313</v>
      </c>
      <c r="AB16" s="415">
        <f t="shared" si="15"/>
        <v>0</v>
      </c>
      <c r="AC16" s="416">
        <f t="shared" si="16"/>
        <v>0</v>
      </c>
      <c r="AD16" s="417">
        <f t="shared" ref="AD16" si="18">SUM(AE16:AL16)</f>
        <v>208</v>
      </c>
      <c r="AE16" s="418">
        <f>IFERROR(INDEX(V!$R:$R,MATCH(AF16,V!$L:$L,0)),"")</f>
        <v>116</v>
      </c>
      <c r="AF16" s="419" t="str">
        <f t="shared" si="5"/>
        <v>Jaan Saar</v>
      </c>
      <c r="AG16" s="418">
        <f>IFERROR(INDEX(V!$R:$R,MATCH(AH16,V!$L:$L,0)),"")</f>
        <v>92</v>
      </c>
      <c r="AH16" s="419" t="str">
        <f t="shared" si="6"/>
        <v>Liidia Põllu</v>
      </c>
      <c r="AI16" s="418" t="str">
        <f>IFERROR(INDEX(V!$R:$R,MATCH(AJ16,V!$L:$L,0)),"")</f>
        <v/>
      </c>
      <c r="AJ16" s="419" t="str">
        <f t="shared" si="7"/>
        <v/>
      </c>
      <c r="AK16" s="418" t="str">
        <f>IFERROR(INDEX(V!$R:$R,MATCH(AL16,V!$L:$L,0)),"")</f>
        <v/>
      </c>
      <c r="AL16" s="419" t="str">
        <f t="shared" si="8"/>
        <v/>
      </c>
      <c r="AM16" s="418" t="str">
        <f>IFERROR(INDEX(V!$R:$R,MATCH(AN16,V!$L:$L,0)),"")</f>
        <v/>
      </c>
      <c r="AN16" s="419" t="str">
        <f t="shared" si="9"/>
        <v/>
      </c>
      <c r="AO16" s="418" t="str">
        <f>IFERROR(INDEX(V!$R:$R,MATCH(AP16,V!$L:$L,0)),"")</f>
        <v/>
      </c>
      <c r="AP16" s="419" t="str">
        <f t="shared" si="10"/>
        <v/>
      </c>
    </row>
    <row r="17" spans="1:42" x14ac:dyDescent="0.2">
      <c r="A17" s="408">
        <v>11</v>
      </c>
      <c r="B17" s="422" t="s">
        <v>394</v>
      </c>
      <c r="C17" s="410"/>
      <c r="D17" s="411" t="s">
        <v>313</v>
      </c>
      <c r="E17" s="411"/>
      <c r="F17" s="412"/>
      <c r="G17" s="410"/>
      <c r="H17" s="411" t="s">
        <v>313</v>
      </c>
      <c r="I17" s="411"/>
      <c r="J17" s="412"/>
      <c r="K17" s="410"/>
      <c r="L17" s="411" t="s">
        <v>313</v>
      </c>
      <c r="M17" s="411"/>
      <c r="N17" s="412"/>
      <c r="O17" s="410"/>
      <c r="P17" s="411" t="s">
        <v>313</v>
      </c>
      <c r="Q17" s="411"/>
      <c r="R17" s="412"/>
      <c r="S17" s="410"/>
      <c r="T17" s="411"/>
      <c r="U17" s="411"/>
      <c r="V17" s="412"/>
      <c r="W17" s="413">
        <f t="shared" si="13"/>
        <v>0</v>
      </c>
      <c r="X17" s="414"/>
      <c r="Y17" s="414"/>
      <c r="Z17" s="410">
        <f t="shared" si="14"/>
        <v>0</v>
      </c>
      <c r="AA17" s="411" t="s">
        <v>313</v>
      </c>
      <c r="AB17" s="415">
        <f t="shared" si="15"/>
        <v>0</v>
      </c>
      <c r="AC17" s="416">
        <f t="shared" si="16"/>
        <v>0</v>
      </c>
      <c r="AD17" s="417">
        <f t="shared" ref="AD17" si="19">SUM(AE17:AL17)</f>
        <v>176</v>
      </c>
      <c r="AE17" s="418">
        <f>IFERROR(INDEX(V!$R:$R,MATCH(AF17,V!$L:$L,0)),"")</f>
        <v>62</v>
      </c>
      <c r="AF17" s="419" t="str">
        <f t="shared" si="5"/>
        <v>Boriss Klubov</v>
      </c>
      <c r="AG17" s="418">
        <f>IFERROR(INDEX(V!$R:$R,MATCH(AH17,V!$L:$L,0)),"")</f>
        <v>114</v>
      </c>
      <c r="AH17" s="419" t="str">
        <f t="shared" si="6"/>
        <v>Elmo Lageda</v>
      </c>
      <c r="AI17" s="418" t="str">
        <f>IFERROR(INDEX(V!$R:$R,MATCH(AJ17,V!$L:$L,0)),"")</f>
        <v/>
      </c>
      <c r="AJ17" s="419" t="str">
        <f t="shared" si="7"/>
        <v/>
      </c>
      <c r="AK17" s="418" t="str">
        <f>IFERROR(INDEX(V!$R:$R,MATCH(AL17,V!$L:$L,0)),"")</f>
        <v/>
      </c>
      <c r="AL17" s="419" t="str">
        <f t="shared" si="8"/>
        <v/>
      </c>
      <c r="AM17" s="418" t="str">
        <f>IFERROR(INDEX(V!$R:$R,MATCH(AN17,V!$L:$L,0)),"")</f>
        <v/>
      </c>
      <c r="AN17" s="419" t="str">
        <f t="shared" si="9"/>
        <v/>
      </c>
      <c r="AO17" s="418" t="str">
        <f>IFERROR(INDEX(V!$R:$R,MATCH(AP17,V!$L:$L,0)),"")</f>
        <v/>
      </c>
      <c r="AP17" s="419" t="str">
        <f t="shared" si="10"/>
        <v/>
      </c>
    </row>
    <row r="18" spans="1:42" x14ac:dyDescent="0.2">
      <c r="A18" s="408">
        <v>12</v>
      </c>
      <c r="B18" s="422" t="s">
        <v>395</v>
      </c>
      <c r="C18" s="410"/>
      <c r="D18" s="411" t="s">
        <v>313</v>
      </c>
      <c r="E18" s="411"/>
      <c r="F18" s="412"/>
      <c r="G18" s="410"/>
      <c r="H18" s="411" t="s">
        <v>313</v>
      </c>
      <c r="I18" s="411"/>
      <c r="J18" s="412"/>
      <c r="K18" s="410"/>
      <c r="L18" s="411" t="s">
        <v>313</v>
      </c>
      <c r="M18" s="411"/>
      <c r="N18" s="412"/>
      <c r="O18" s="410"/>
      <c r="P18" s="411" t="s">
        <v>313</v>
      </c>
      <c r="Q18" s="411"/>
      <c r="R18" s="412"/>
      <c r="S18" s="410"/>
      <c r="T18" s="411"/>
      <c r="U18" s="411"/>
      <c r="V18" s="412"/>
      <c r="W18" s="413">
        <f t="shared" si="13"/>
        <v>0</v>
      </c>
      <c r="X18" s="414"/>
      <c r="Y18" s="414"/>
      <c r="Z18" s="410">
        <f t="shared" si="14"/>
        <v>0</v>
      </c>
      <c r="AA18" s="411" t="s">
        <v>313</v>
      </c>
      <c r="AB18" s="415">
        <f t="shared" si="15"/>
        <v>0</v>
      </c>
      <c r="AC18" s="416">
        <f t="shared" si="16"/>
        <v>0</v>
      </c>
      <c r="AD18" s="417">
        <f t="shared" ref="AD18" si="20">SUM(AE18:AL18)</f>
        <v>60</v>
      </c>
      <c r="AE18" s="418">
        <f>IFERROR(INDEX(V!$R:$R,MATCH(AF18,V!$L:$L,0)),"")</f>
        <v>22</v>
      </c>
      <c r="AF18" s="419" t="str">
        <f t="shared" si="5"/>
        <v>Lemmit Toomra</v>
      </c>
      <c r="AG18" s="418">
        <f>IFERROR(INDEX(V!$R:$R,MATCH(AH18,V!$L:$L,0)),"")</f>
        <v>38</v>
      </c>
      <c r="AH18" s="419" t="str">
        <f t="shared" si="6"/>
        <v>Tõnu Kapper</v>
      </c>
      <c r="AI18" s="418" t="str">
        <f>IFERROR(INDEX(V!$R:$R,MATCH(AJ18,V!$L:$L,0)),"")</f>
        <v/>
      </c>
      <c r="AJ18" s="419" t="str">
        <f t="shared" si="7"/>
        <v/>
      </c>
      <c r="AK18" s="418" t="str">
        <f>IFERROR(INDEX(V!$R:$R,MATCH(AL18,V!$L:$L,0)),"")</f>
        <v/>
      </c>
      <c r="AL18" s="419" t="str">
        <f t="shared" si="8"/>
        <v/>
      </c>
      <c r="AM18" s="418" t="str">
        <f>IFERROR(INDEX(V!$R:$R,MATCH(AN18,V!$L:$L,0)),"")</f>
        <v/>
      </c>
      <c r="AN18" s="419" t="str">
        <f t="shared" si="9"/>
        <v/>
      </c>
      <c r="AO18" s="418" t="str">
        <f>IFERROR(INDEX(V!$R:$R,MATCH(AP18,V!$L:$L,0)),"")</f>
        <v/>
      </c>
      <c r="AP18" s="419" t="str">
        <f t="shared" si="10"/>
        <v/>
      </c>
    </row>
    <row r="19" spans="1:42" x14ac:dyDescent="0.2">
      <c r="A19" s="408">
        <v>13</v>
      </c>
      <c r="B19" s="422" t="s">
        <v>452</v>
      </c>
      <c r="C19" s="410"/>
      <c r="D19" s="411" t="s">
        <v>313</v>
      </c>
      <c r="E19" s="411"/>
      <c r="F19" s="412"/>
      <c r="G19" s="410"/>
      <c r="H19" s="411" t="s">
        <v>313</v>
      </c>
      <c r="I19" s="411"/>
      <c r="J19" s="412"/>
      <c r="K19" s="410"/>
      <c r="L19" s="411" t="s">
        <v>313</v>
      </c>
      <c r="M19" s="411"/>
      <c r="N19" s="412"/>
      <c r="O19" s="410"/>
      <c r="P19" s="411" t="s">
        <v>313</v>
      </c>
      <c r="Q19" s="411"/>
      <c r="R19" s="412"/>
      <c r="S19" s="410"/>
      <c r="T19" s="411"/>
      <c r="U19" s="411"/>
      <c r="V19" s="412"/>
      <c r="W19" s="413">
        <f t="shared" si="13"/>
        <v>0</v>
      </c>
      <c r="X19" s="414"/>
      <c r="Y19" s="414"/>
      <c r="Z19" s="410">
        <f t="shared" si="14"/>
        <v>0</v>
      </c>
      <c r="AA19" s="411" t="s">
        <v>313</v>
      </c>
      <c r="AB19" s="415">
        <f t="shared" si="15"/>
        <v>0</v>
      </c>
      <c r="AC19" s="416">
        <f t="shared" si="16"/>
        <v>0</v>
      </c>
      <c r="AD19" s="417">
        <f t="shared" ref="AD19" si="21">SUM(AE19:AL19)</f>
        <v>160</v>
      </c>
      <c r="AE19" s="418">
        <f>IFERROR(INDEX(V!$R:$R,MATCH(AF19,V!$L:$L,0)),"")</f>
        <v>54</v>
      </c>
      <c r="AF19" s="419" t="str">
        <f t="shared" si="5"/>
        <v>Sirje Maala</v>
      </c>
      <c r="AG19" s="418">
        <f>IFERROR(INDEX(V!$R:$R,MATCH(AH19,V!$L:$L,0)),"")</f>
        <v>106</v>
      </c>
      <c r="AH19" s="419" t="str">
        <f t="shared" si="6"/>
        <v>Viktoria Mets</v>
      </c>
      <c r="AI19" s="418" t="str">
        <f>IFERROR(INDEX(V!$R:$R,MATCH(AJ19,V!$L:$L,0)),"")</f>
        <v/>
      </c>
      <c r="AJ19" s="419" t="str">
        <f t="shared" si="7"/>
        <v/>
      </c>
      <c r="AK19" s="418" t="str">
        <f>IFERROR(INDEX(V!$R:$R,MATCH(AL19,V!$L:$L,0)),"")</f>
        <v/>
      </c>
      <c r="AL19" s="419" t="str">
        <f t="shared" si="8"/>
        <v/>
      </c>
      <c r="AM19" s="418" t="str">
        <f>IFERROR(INDEX(V!$R:$R,MATCH(AN19,V!$L:$L,0)),"")</f>
        <v/>
      </c>
      <c r="AN19" s="419" t="str">
        <f t="shared" si="9"/>
        <v/>
      </c>
      <c r="AO19" s="418" t="str">
        <f>IFERROR(INDEX(V!$R:$R,MATCH(AP19,V!$L:$L,0)),"")</f>
        <v/>
      </c>
      <c r="AP19" s="419" t="str">
        <f t="shared" si="10"/>
        <v/>
      </c>
    </row>
    <row r="20" spans="1:42" x14ac:dyDescent="0.2">
      <c r="A20" s="408">
        <v>14</v>
      </c>
      <c r="B20" s="422" t="s">
        <v>453</v>
      </c>
      <c r="C20" s="410"/>
      <c r="D20" s="411" t="s">
        <v>313</v>
      </c>
      <c r="E20" s="411"/>
      <c r="F20" s="412"/>
      <c r="G20" s="410"/>
      <c r="H20" s="411" t="s">
        <v>313</v>
      </c>
      <c r="I20" s="411"/>
      <c r="J20" s="412"/>
      <c r="K20" s="410"/>
      <c r="L20" s="411" t="s">
        <v>313</v>
      </c>
      <c r="M20" s="411"/>
      <c r="N20" s="412"/>
      <c r="O20" s="410"/>
      <c r="P20" s="411" t="s">
        <v>313</v>
      </c>
      <c r="Q20" s="411"/>
      <c r="R20" s="412"/>
      <c r="S20" s="410"/>
      <c r="T20" s="411"/>
      <c r="U20" s="411"/>
      <c r="V20" s="412"/>
      <c r="W20" s="413">
        <f t="shared" si="13"/>
        <v>0</v>
      </c>
      <c r="X20" s="414"/>
      <c r="Y20" s="414"/>
      <c r="Z20" s="410">
        <f t="shared" si="14"/>
        <v>0</v>
      </c>
      <c r="AA20" s="411" t="s">
        <v>313</v>
      </c>
      <c r="AB20" s="415">
        <f t="shared" si="15"/>
        <v>0</v>
      </c>
      <c r="AC20" s="416">
        <f t="shared" si="16"/>
        <v>0</v>
      </c>
      <c r="AD20" s="417">
        <f t="shared" ref="AD20" si="22">SUM(AE20:AL20)</f>
        <v>14</v>
      </c>
      <c r="AE20" s="418">
        <f>IFERROR(INDEX(V!$R:$R,MATCH(AF20,V!$L:$L,0)),"")</f>
        <v>12</v>
      </c>
      <c r="AF20" s="419" t="str">
        <f t="shared" si="5"/>
        <v>Jüri Mitt</v>
      </c>
      <c r="AG20" s="418">
        <f>IFERROR(INDEX(V!$R:$R,MATCH(AH20,V!$L:$L,0)),"")</f>
        <v>2</v>
      </c>
      <c r="AH20" s="419" t="str">
        <f t="shared" si="6"/>
        <v>Tarmo Bombe</v>
      </c>
      <c r="AI20" s="418" t="str">
        <f>IFERROR(INDEX(V!$R:$R,MATCH(AJ20,V!$L:$L,0)),"")</f>
        <v/>
      </c>
      <c r="AJ20" s="419" t="str">
        <f t="shared" si="7"/>
        <v/>
      </c>
      <c r="AK20" s="418" t="str">
        <f>IFERROR(INDEX(V!$R:$R,MATCH(AL20,V!$L:$L,0)),"")</f>
        <v/>
      </c>
      <c r="AL20" s="419" t="str">
        <f t="shared" si="8"/>
        <v/>
      </c>
      <c r="AM20" s="418" t="str">
        <f>IFERROR(INDEX(V!$R:$R,MATCH(AN20,V!$L:$L,0)),"")</f>
        <v/>
      </c>
      <c r="AN20" s="419" t="str">
        <f t="shared" si="9"/>
        <v/>
      </c>
      <c r="AO20" s="418" t="str">
        <f>IFERROR(INDEX(V!$R:$R,MATCH(AP20,V!$L:$L,0)),"")</f>
        <v/>
      </c>
      <c r="AP20" s="419" t="str">
        <f t="shared" si="10"/>
        <v/>
      </c>
    </row>
    <row r="23" spans="1:42" hidden="1" x14ac:dyDescent="0.2"/>
    <row r="24" spans="1:42" hidden="1" x14ac:dyDescent="0.2"/>
    <row r="25" spans="1:42" hidden="1" x14ac:dyDescent="0.2"/>
    <row r="26" spans="1:42" hidden="1" x14ac:dyDescent="0.2"/>
    <row r="27" spans="1:42" hidden="1" x14ac:dyDescent="0.2"/>
    <row r="28" spans="1:42" hidden="1" x14ac:dyDescent="0.2"/>
    <row r="29" spans="1:42" hidden="1" x14ac:dyDescent="0.2"/>
    <row r="30" spans="1:42" hidden="1" x14ac:dyDescent="0.2"/>
    <row r="31" spans="1:42" hidden="1" x14ac:dyDescent="0.2"/>
    <row r="32" spans="1:4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6" hidden="1" x14ac:dyDescent="0.2"/>
    <row r="290" spans="1:6" hidden="1" x14ac:dyDescent="0.2"/>
    <row r="291" spans="1:6" hidden="1" x14ac:dyDescent="0.2"/>
    <row r="292" spans="1:6" hidden="1" x14ac:dyDescent="0.2"/>
    <row r="293" spans="1:6" hidden="1" x14ac:dyDescent="0.2"/>
    <row r="294" spans="1:6" hidden="1" x14ac:dyDescent="0.2"/>
    <row r="295" spans="1:6" hidden="1" x14ac:dyDescent="0.2"/>
    <row r="296" spans="1:6" hidden="1" x14ac:dyDescent="0.2"/>
    <row r="297" spans="1:6" hidden="1" x14ac:dyDescent="0.2"/>
    <row r="298" spans="1:6" hidden="1" x14ac:dyDescent="0.2"/>
    <row r="299" spans="1:6" x14ac:dyDescent="0.2">
      <c r="A299" s="378"/>
      <c r="B299" s="378"/>
      <c r="C299" s="423" t="s">
        <v>316</v>
      </c>
      <c r="F299" s="388" t="s">
        <v>142</v>
      </c>
    </row>
    <row r="300" spans="1:6" ht="25.5" x14ac:dyDescent="0.2">
      <c r="A300" s="425">
        <v>1</v>
      </c>
      <c r="B300" s="426" t="str">
        <f t="shared" ref="B300:B307" si="23">IFERROR(INDEX(B$1:B$95,MATCH(A300,A$1:A$95,0)),"")</f>
        <v>Kenneth Muusikus, Tõnis Neiland</v>
      </c>
      <c r="C300" s="427">
        <f>LARGE(A300:A400,1)*2+2-A300*2</f>
        <v>28</v>
      </c>
      <c r="F300" s="424">
        <v>4</v>
      </c>
    </row>
    <row r="301" spans="1:6" x14ac:dyDescent="0.2">
      <c r="A301" s="425">
        <v>2</v>
      </c>
      <c r="B301" s="426" t="str">
        <f t="shared" si="23"/>
        <v>Andrei Grintšak, Enn Tokman</v>
      </c>
      <c r="C301" s="427">
        <f t="shared" ref="C301:C307" si="24">LARGE(A301:A401,1)*2+2-A301*2</f>
        <v>26</v>
      </c>
      <c r="F301" s="424">
        <v>3</v>
      </c>
    </row>
    <row r="302" spans="1:6" x14ac:dyDescent="0.2">
      <c r="A302" s="425">
        <v>3</v>
      </c>
      <c r="B302" s="426" t="str">
        <f t="shared" si="23"/>
        <v>Kristel Tihhonjuk, Vadim Tihhonjuk</v>
      </c>
      <c r="C302" s="427">
        <f t="shared" si="24"/>
        <v>24</v>
      </c>
      <c r="F302" s="424">
        <v>3</v>
      </c>
    </row>
    <row r="303" spans="1:6" x14ac:dyDescent="0.2">
      <c r="A303" s="425">
        <v>4</v>
      </c>
      <c r="B303" s="426" t="str">
        <f t="shared" si="23"/>
        <v>Olav Türk, Urmas Jõeäär</v>
      </c>
      <c r="C303" s="427">
        <f t="shared" si="24"/>
        <v>22</v>
      </c>
      <c r="F303" s="424">
        <v>3</v>
      </c>
    </row>
    <row r="304" spans="1:6" x14ac:dyDescent="0.2">
      <c r="A304" s="425">
        <v>5</v>
      </c>
      <c r="B304" s="426" t="str">
        <f t="shared" si="23"/>
        <v>Andres Veski, Svetlana Veski</v>
      </c>
      <c r="C304" s="427">
        <f t="shared" si="24"/>
        <v>20</v>
      </c>
      <c r="F304" s="424">
        <v>3</v>
      </c>
    </row>
    <row r="305" spans="1:6" x14ac:dyDescent="0.2">
      <c r="A305" s="425">
        <v>6</v>
      </c>
      <c r="B305" s="426" t="str">
        <f t="shared" si="23"/>
        <v>Johannes Neiland, Urmas Randlaine</v>
      </c>
      <c r="C305" s="427">
        <f t="shared" si="24"/>
        <v>18</v>
      </c>
      <c r="F305" s="424">
        <v>2</v>
      </c>
    </row>
    <row r="306" spans="1:6" ht="25.5" x14ac:dyDescent="0.2">
      <c r="A306" s="425">
        <v>7</v>
      </c>
      <c r="B306" s="426" t="str">
        <f t="shared" si="23"/>
        <v>Aleksander Korikov, Oleg Rõndenkov, Sander Rose</v>
      </c>
      <c r="C306" s="427">
        <f t="shared" si="24"/>
        <v>16</v>
      </c>
      <c r="F306" s="424">
        <v>2</v>
      </c>
    </row>
    <row r="307" spans="1:6" x14ac:dyDescent="0.2">
      <c r="A307" s="425">
        <v>8</v>
      </c>
      <c r="B307" s="426" t="str">
        <f t="shared" si="23"/>
        <v>Marko Rooden, Martin Kuusmann</v>
      </c>
      <c r="C307" s="427">
        <f t="shared" si="24"/>
        <v>14</v>
      </c>
      <c r="F307" s="424">
        <v>1</v>
      </c>
    </row>
    <row r="308" spans="1:6" x14ac:dyDescent="0.2">
      <c r="A308" s="425">
        <v>9</v>
      </c>
      <c r="B308" s="426" t="str">
        <f t="shared" ref="B308:B313" si="25">IFERROR(INDEX(B$1:B$95,MATCH(A308,A$1:A$95,0)),"")</f>
        <v>Ljudmila Varendi, Viktor Švarõgin</v>
      </c>
      <c r="C308" s="427">
        <f t="shared" ref="C308:C313" si="26">LARGE(A308:A408,1)*2+2-A308*2</f>
        <v>12</v>
      </c>
      <c r="F308" s="424">
        <v>0</v>
      </c>
    </row>
    <row r="309" spans="1:6" x14ac:dyDescent="0.2">
      <c r="A309" s="425">
        <v>10</v>
      </c>
      <c r="B309" s="426" t="str">
        <f t="shared" si="25"/>
        <v>Jaan Saar, Liidia Põllu</v>
      </c>
      <c r="C309" s="427">
        <f t="shared" si="26"/>
        <v>10</v>
      </c>
      <c r="F309" s="424">
        <v>1</v>
      </c>
    </row>
    <row r="310" spans="1:6" x14ac:dyDescent="0.2">
      <c r="A310" s="425">
        <v>11</v>
      </c>
      <c r="B310" s="426" t="str">
        <f t="shared" si="25"/>
        <v>Boriss Klubov, Elmo Lageda</v>
      </c>
      <c r="C310" s="427">
        <f t="shared" si="26"/>
        <v>8</v>
      </c>
      <c r="F310" s="424">
        <v>1</v>
      </c>
    </row>
    <row r="311" spans="1:6" x14ac:dyDescent="0.2">
      <c r="A311" s="425">
        <v>12</v>
      </c>
      <c r="B311" s="426" t="str">
        <f t="shared" si="25"/>
        <v>Lemmit Toomra, Tõnu Kapper</v>
      </c>
      <c r="C311" s="427">
        <f t="shared" si="26"/>
        <v>6</v>
      </c>
      <c r="F311" s="424">
        <v>1</v>
      </c>
    </row>
    <row r="312" spans="1:6" x14ac:dyDescent="0.2">
      <c r="A312" s="425">
        <v>13</v>
      </c>
      <c r="B312" s="426" t="str">
        <f t="shared" si="25"/>
        <v>Sirje Maala, Viktoria Mets</v>
      </c>
      <c r="C312" s="427">
        <f t="shared" si="26"/>
        <v>4</v>
      </c>
      <c r="F312" s="424">
        <v>1</v>
      </c>
    </row>
    <row r="313" spans="1:6" x14ac:dyDescent="0.2">
      <c r="A313" s="425">
        <v>14</v>
      </c>
      <c r="B313" s="426" t="str">
        <f t="shared" si="25"/>
        <v>Jüri Mitt, Tarmo Bombe</v>
      </c>
      <c r="C313" s="427">
        <f t="shared" si="26"/>
        <v>2</v>
      </c>
      <c r="F313" s="424">
        <v>0</v>
      </c>
    </row>
  </sheetData>
  <conditionalFormatting sqref="AJ7:AJ20 AH7:AH20 AL7:AL20">
    <cfRule type="expression" dxfId="258" priority="36">
      <formula>AND(AG7="",FIND(",",AH7))</formula>
    </cfRule>
    <cfRule type="expression" dxfId="257" priority="38">
      <formula>AND(AG7="",COUNTIF(AH7,"*,*")=0)</formula>
    </cfRule>
  </conditionalFormatting>
  <conditionalFormatting sqref="AF7:AF20">
    <cfRule type="expression" dxfId="256" priority="37">
      <formula>AND(AE7="",COUNTIF(AF7,"*,*")=0)</formula>
    </cfRule>
  </conditionalFormatting>
  <conditionalFormatting sqref="AN7:AN20 AP7:AP20">
    <cfRule type="expression" dxfId="255" priority="34">
      <formula>AND(AM7="",COUNTIF(AN7,"*,*")=0)</formula>
    </cfRule>
    <cfRule type="expression" dxfId="254" priority="35">
      <formula>AND(AM7="",FIND(",",AN7))</formula>
    </cfRule>
  </conditionalFormatting>
  <conditionalFormatting sqref="B300:B313">
    <cfRule type="expression" dxfId="253" priority="39">
      <formula>A300=3</formula>
    </cfRule>
    <cfRule type="expression" dxfId="252" priority="40">
      <formula>A300=2</formula>
    </cfRule>
    <cfRule type="expression" dxfId="251" priority="41">
      <formula>A300=1</formula>
    </cfRule>
    <cfRule type="containsBlanks" dxfId="250" priority="42">
      <formula>LEN(TRIM(B300))=0</formula>
    </cfRule>
    <cfRule type="duplicateValues" dxfId="249" priority="43"/>
  </conditionalFormatting>
  <conditionalFormatting sqref="A7:A20">
    <cfRule type="duplicateValues" dxfId="248" priority="33"/>
  </conditionalFormatting>
  <conditionalFormatting sqref="C7:C20">
    <cfRule type="expression" dxfId="247" priority="15">
      <formula>IF($C7&gt;$E7,TRUE)</formula>
    </cfRule>
  </conditionalFormatting>
  <conditionalFormatting sqref="E7:E20">
    <cfRule type="expression" dxfId="246" priority="16">
      <formula>IF($C7&lt;$E7,TRUE)</formula>
    </cfRule>
  </conditionalFormatting>
  <conditionalFormatting sqref="K7:K20">
    <cfRule type="expression" dxfId="245" priority="23">
      <formula>IF($K7&gt;$M7,TRUE)</formula>
    </cfRule>
  </conditionalFormatting>
  <conditionalFormatting sqref="M7:M20">
    <cfRule type="expression" dxfId="244" priority="24">
      <formula>IF($K7&lt;$M7,TRUE)</formula>
    </cfRule>
  </conditionalFormatting>
  <conditionalFormatting sqref="O7:O20">
    <cfRule type="expression" dxfId="243" priority="27">
      <formula>IF($O7&gt;$Q7,TRUE)</formula>
    </cfRule>
  </conditionalFormatting>
  <conditionalFormatting sqref="Q7:Q20">
    <cfRule type="expression" dxfId="242" priority="28">
      <formula>IF($O7&lt;$Q7,TRUE)</formula>
    </cfRule>
  </conditionalFormatting>
  <conditionalFormatting sqref="S7:S20">
    <cfRule type="expression" dxfId="241" priority="31">
      <formula>IF($S7&gt;$U7,TRUE)</formula>
    </cfRule>
  </conditionalFormatting>
  <conditionalFormatting sqref="U7:U20">
    <cfRule type="expression" dxfId="240" priority="32">
      <formula>IF($S7&lt;$U7,TRUE)</formula>
    </cfRule>
  </conditionalFormatting>
  <conditionalFormatting sqref="G7:G20">
    <cfRule type="expression" dxfId="239" priority="19">
      <formula>IF($G7&gt;$I7,TRUE)</formula>
    </cfRule>
  </conditionalFormatting>
  <conditionalFormatting sqref="I7:I20">
    <cfRule type="expression" dxfId="238" priority="20">
      <formula>IF($G7&lt;$I7,TRUE)</formula>
    </cfRule>
  </conditionalFormatting>
  <conditionalFormatting sqref="F7:F20">
    <cfRule type="containsText" dxfId="237" priority="6" operator="containsText" text="vaba voor">
      <formula>NOT(ISERROR(SEARCH("vaba voor",F7)))</formula>
    </cfRule>
  </conditionalFormatting>
  <conditionalFormatting sqref="N7:N20">
    <cfRule type="containsText" dxfId="236" priority="4" operator="containsText" text="vaba voor">
      <formula>NOT(ISERROR(SEARCH("vaba voor",N7)))</formula>
    </cfRule>
  </conditionalFormatting>
  <conditionalFormatting sqref="R7:R20">
    <cfRule type="containsText" dxfId="235" priority="7" operator="containsText" text="vaba voor">
      <formula>NOT(ISERROR(SEARCH("vaba voor",R7)))</formula>
    </cfRule>
  </conditionalFormatting>
  <conditionalFormatting sqref="V7:V20">
    <cfRule type="containsText" dxfId="234" priority="3" operator="containsText" text="vaba voor">
      <formula>NOT(ISERROR(SEARCH("vaba voor",V7)))</formula>
    </cfRule>
  </conditionalFormatting>
  <conditionalFormatting sqref="J7:J20">
    <cfRule type="containsText" dxfId="233" priority="5" operator="containsText" text="vaba voor">
      <formula>NOT(ISERROR(SEARCH("vaba voor",J7)))</formula>
    </cfRule>
  </conditionalFormatting>
  <conditionalFormatting sqref="C7:F20">
    <cfRule type="expression" dxfId="232" priority="11">
      <formula>IF(AND(ISNUMBER($C7),$C7=$E7),TRUE)</formula>
    </cfRule>
    <cfRule type="expression" dxfId="231" priority="13">
      <formula>IF($C7&gt;$E7,TRUE)</formula>
    </cfRule>
    <cfRule type="expression" dxfId="230" priority="14">
      <formula>IF($C7&lt;$E7,TRUE)</formula>
    </cfRule>
  </conditionalFormatting>
  <conditionalFormatting sqref="G7:J20">
    <cfRule type="expression" dxfId="229" priority="12">
      <formula>IF(AND(ISNUMBER($G7),$G7=$I7),TRUE)</formula>
    </cfRule>
    <cfRule type="expression" dxfId="228" priority="17">
      <formula>IF($G7&gt;$I7,TRUE)</formula>
    </cfRule>
    <cfRule type="expression" dxfId="227" priority="18">
      <formula>IF($G7&lt;$I7,TRUE)</formula>
    </cfRule>
  </conditionalFormatting>
  <conditionalFormatting sqref="K7:N20">
    <cfRule type="expression" dxfId="226" priority="10">
      <formula>IF(AND(ISNUMBER($K7),$K7=$M7),TRUE)</formula>
    </cfRule>
    <cfRule type="expression" dxfId="225" priority="21">
      <formula>IF($K7&gt;$M7,TRUE)</formula>
    </cfRule>
    <cfRule type="expression" dxfId="224" priority="22">
      <formula>IF($K7&lt;$M7,TRUE)</formula>
    </cfRule>
  </conditionalFormatting>
  <conditionalFormatting sqref="O7:R20">
    <cfRule type="expression" dxfId="223" priority="9">
      <formula>IF(AND(ISNUMBER($O7),$O7=$Q7),TRUE)</formula>
    </cfRule>
    <cfRule type="expression" dxfId="222" priority="25">
      <formula>IF($O7&gt;$Q7,TRUE)</formula>
    </cfRule>
    <cfRule type="expression" dxfId="221" priority="26">
      <formula>IF($O7&lt;$Q7,TRUE)</formula>
    </cfRule>
  </conditionalFormatting>
  <conditionalFormatting sqref="S7:V20">
    <cfRule type="expression" dxfId="220" priority="8">
      <formula>IF(AND(ISNUMBER($S7),$S7=$U7),TRUE)</formula>
    </cfRule>
    <cfRule type="expression" dxfId="219" priority="29">
      <formula>IF($S7&gt;$U7,TRUE)</formula>
    </cfRule>
    <cfRule type="expression" dxfId="218" priority="30">
      <formula>IF($S7&lt;$U7,TRUE)</formula>
    </cfRule>
  </conditionalFormatting>
  <conditionalFormatting sqref="C7:C20 G7:G20 K7:K20 O7:O20 S7:S20">
    <cfRule type="expression" dxfId="217" priority="1">
      <formula>AND(C7=0,E7=13)</formula>
    </cfRule>
  </conditionalFormatting>
  <conditionalFormatting sqref="E7:E20 I7:I20 M7:M20 Q7:Q20 U7:U20">
    <cfRule type="expression" dxfId="216" priority="2">
      <formula>AND(E7=0,C7=13)</formula>
    </cfRule>
  </conditionalFormatting>
  <pageMargins left="0.39370078740157483" right="0.39370078740157483" top="0.78740157480314965" bottom="0.39370078740157483" header="0.78740157480314965" footer="0"/>
  <pageSetup paperSize="9" fitToHeight="0" orientation="landscape" verticalDpi="1200" r:id="rId1"/>
  <headerFooter>
    <oddHeader>&amp;R&amp;P. leht &amp;N&amp; -st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P311"/>
  <sheetViews>
    <sheetView showGridLines="0" showRowColHeaders="0" workbookViewId="0">
      <pane ySplit="1" topLeftCell="A2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1" width="3.28515625" style="377" customWidth="1"/>
    <col min="2" max="2" width="32" style="377" customWidth="1"/>
    <col min="3" max="3" width="4.7109375" style="377" customWidth="1"/>
    <col min="4" max="4" width="1.140625" style="377" customWidth="1"/>
    <col min="5" max="5" width="2.7109375" style="377" customWidth="1"/>
    <col min="6" max="6" width="9.140625" style="377"/>
    <col min="7" max="7" width="2.7109375" style="377" customWidth="1"/>
    <col min="8" max="8" width="1.140625" style="377" customWidth="1"/>
    <col min="9" max="9" width="2.7109375" style="377" customWidth="1"/>
    <col min="10" max="10" width="9.140625" style="377"/>
    <col min="11" max="11" width="2.7109375" style="377" customWidth="1"/>
    <col min="12" max="12" width="1.140625" style="377" customWidth="1"/>
    <col min="13" max="13" width="2.7109375" style="377" customWidth="1"/>
    <col min="14" max="14" width="9.140625" style="377"/>
    <col min="15" max="15" width="2.7109375" style="377" customWidth="1"/>
    <col min="16" max="16" width="1.140625" style="377" customWidth="1"/>
    <col min="17" max="17" width="2.7109375" style="377" customWidth="1"/>
    <col min="18" max="18" width="9.140625" style="377"/>
    <col min="19" max="19" width="2.7109375" style="377" hidden="1" customWidth="1"/>
    <col min="20" max="20" width="1.140625" style="377" hidden="1" customWidth="1"/>
    <col min="21" max="21" width="2.7109375" style="377" hidden="1" customWidth="1"/>
    <col min="22" max="22" width="0" style="377" hidden="1" customWidth="1"/>
    <col min="23" max="23" width="5.7109375" style="377" customWidth="1"/>
    <col min="24" max="24" width="5.5703125" style="377" customWidth="1"/>
    <col min="25" max="25" width="7.42578125" style="377" customWidth="1"/>
    <col min="26" max="26" width="2.7109375" style="377" customWidth="1"/>
    <col min="27" max="27" width="1.140625" style="377" customWidth="1"/>
    <col min="28" max="28" width="2.7109375" style="377" customWidth="1"/>
    <col min="29" max="29" width="4.140625" style="377" bestFit="1" customWidth="1"/>
    <col min="30" max="30" width="9.140625" style="377" hidden="1" customWidth="1"/>
    <col min="31" max="31" width="4" style="377" hidden="1" customWidth="1"/>
    <col min="32" max="32" width="17" style="377" hidden="1" customWidth="1"/>
    <col min="33" max="33" width="4" style="377" hidden="1" customWidth="1"/>
    <col min="34" max="34" width="15.28515625" style="377" hidden="1" customWidth="1"/>
    <col min="35" max="35" width="9.140625" style="377" hidden="1" customWidth="1"/>
    <col min="36" max="36" width="17.28515625" style="377" hidden="1" customWidth="1"/>
    <col min="37" max="37" width="9.140625" style="377" hidden="1" customWidth="1"/>
    <col min="38" max="38" width="13.85546875" style="377" hidden="1" customWidth="1"/>
    <col min="39" max="39" width="9.140625" style="377" hidden="1" customWidth="1"/>
    <col min="40" max="40" width="17.28515625" style="377" hidden="1" customWidth="1"/>
    <col min="41" max="41" width="9.140625" style="377" hidden="1" customWidth="1"/>
    <col min="42" max="42" width="13.85546875" style="377" hidden="1" customWidth="1"/>
    <col min="43" max="16384" width="9.140625" style="377"/>
  </cols>
  <sheetData>
    <row r="1" spans="1:42" x14ac:dyDescent="0.2">
      <c r="A1" s="376" t="str">
        <f>UPPER((Kalend!E34)&amp;" - "&amp;(Kalend!C34))&amp;" - "&amp;LOWER(Kalend!D34)&amp;" - "&amp;(Kalend!A34)&amp;" kell "&amp;(Kalend!B34)&amp;" - "&amp;(Kalend!F34)</f>
        <v>V10 - VOKA X KV 10. ETAPP - duo - P, 03.09.2023 kell 11:00 - Voka staadion</v>
      </c>
      <c r="O1" s="378"/>
      <c r="P1" s="378"/>
      <c r="Q1" s="379"/>
      <c r="R1" s="379"/>
      <c r="S1" s="379"/>
      <c r="T1" s="380"/>
      <c r="U1" s="380"/>
      <c r="V1" s="380"/>
      <c r="W1" s="378"/>
      <c r="X1" s="381"/>
      <c r="Y1" s="378"/>
      <c r="Z1" s="378"/>
      <c r="AD1" s="382" t="s">
        <v>133</v>
      </c>
      <c r="AE1" s="383"/>
      <c r="AF1" s="383"/>
      <c r="AG1" s="383"/>
      <c r="AH1" s="383"/>
      <c r="AI1" s="383"/>
      <c r="AJ1" s="383"/>
      <c r="AK1" s="383"/>
      <c r="AL1" s="383"/>
      <c r="AM1" s="383"/>
      <c r="AN1" s="383"/>
      <c r="AO1" s="384"/>
      <c r="AP1" s="384"/>
    </row>
    <row r="2" spans="1:42" x14ac:dyDescent="0.2">
      <c r="A2" s="385"/>
      <c r="F2" s="378"/>
      <c r="L2" s="386"/>
      <c r="M2" s="386"/>
      <c r="N2" s="386"/>
      <c r="O2" s="378"/>
      <c r="P2" s="378"/>
      <c r="Q2" s="378"/>
      <c r="R2" s="387" t="s">
        <v>292</v>
      </c>
      <c r="S2" s="378"/>
      <c r="T2" s="386"/>
      <c r="U2" s="386"/>
      <c r="V2" s="386"/>
      <c r="W2" s="388">
        <v>1</v>
      </c>
      <c r="X2" s="389" t="s">
        <v>293</v>
      </c>
      <c r="Y2" s="378"/>
      <c r="Z2" s="378"/>
      <c r="AA2" s="378"/>
      <c r="AB2" s="378"/>
      <c r="AE2" s="378"/>
      <c r="AG2" s="378"/>
      <c r="AH2" s="378"/>
      <c r="AI2" s="378"/>
      <c r="AJ2" s="378"/>
      <c r="AK2" s="378"/>
      <c r="AL2" s="378"/>
      <c r="AM2" s="378"/>
      <c r="AN2" s="378"/>
    </row>
    <row r="3" spans="1:42" x14ac:dyDescent="0.2">
      <c r="A3" s="385"/>
      <c r="F3" s="378"/>
      <c r="L3" s="378"/>
      <c r="M3" s="378"/>
      <c r="N3" s="378"/>
      <c r="O3" s="378"/>
      <c r="P3" s="378"/>
      <c r="Q3" s="378"/>
      <c r="R3" s="390" t="s">
        <v>294</v>
      </c>
      <c r="S3" s="378"/>
      <c r="T3" s="378"/>
      <c r="U3" s="378"/>
      <c r="V3" s="378"/>
      <c r="W3" s="388">
        <v>0.5</v>
      </c>
      <c r="X3" s="389" t="s">
        <v>293</v>
      </c>
      <c r="Y3" s="378"/>
      <c r="Z3" s="378"/>
      <c r="AA3" s="378"/>
      <c r="AB3" s="378"/>
      <c r="AE3" s="386"/>
      <c r="AF3" s="386"/>
      <c r="AG3" s="386"/>
      <c r="AH3" s="391"/>
      <c r="AI3" s="386"/>
      <c r="AJ3" s="386"/>
      <c r="AK3" s="386"/>
      <c r="AL3" s="386"/>
      <c r="AM3" s="386"/>
      <c r="AN3" s="386"/>
      <c r="AO3" s="386"/>
      <c r="AP3" s="386"/>
    </row>
    <row r="4" spans="1:42" x14ac:dyDescent="0.2">
      <c r="F4" s="378"/>
      <c r="L4" s="378"/>
      <c r="M4" s="378"/>
      <c r="N4" s="378"/>
      <c r="O4" s="378"/>
      <c r="P4" s="378"/>
      <c r="Q4" s="378"/>
      <c r="R4" s="392" t="s">
        <v>295</v>
      </c>
      <c r="S4" s="378"/>
      <c r="T4" s="378"/>
      <c r="U4" s="378"/>
      <c r="V4" s="378"/>
      <c r="W4" s="388">
        <v>0</v>
      </c>
      <c r="X4" s="389" t="s">
        <v>293</v>
      </c>
      <c r="Y4" s="378"/>
      <c r="Z4" s="378"/>
      <c r="AA4" s="378"/>
      <c r="AB4" s="378"/>
    </row>
    <row r="5" spans="1:42" x14ac:dyDescent="0.2">
      <c r="F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W5" s="378"/>
      <c r="X5" s="378"/>
      <c r="Y5" s="378"/>
      <c r="Z5" s="378"/>
      <c r="AA5" s="378"/>
      <c r="AB5" s="393" t="s">
        <v>296</v>
      </c>
      <c r="AD5" s="394" t="s">
        <v>297</v>
      </c>
    </row>
    <row r="6" spans="1:42" x14ac:dyDescent="0.2">
      <c r="A6" s="395" t="s">
        <v>157</v>
      </c>
      <c r="B6" s="395" t="s">
        <v>156</v>
      </c>
      <c r="C6" s="396" t="s">
        <v>298</v>
      </c>
      <c r="D6" s="397"/>
      <c r="E6" s="397"/>
      <c r="F6" s="398"/>
      <c r="G6" s="396" t="s">
        <v>299</v>
      </c>
      <c r="H6" s="397"/>
      <c r="I6" s="397"/>
      <c r="J6" s="398"/>
      <c r="K6" s="396" t="s">
        <v>300</v>
      </c>
      <c r="L6" s="397"/>
      <c r="M6" s="397"/>
      <c r="N6" s="398"/>
      <c r="O6" s="396" t="s">
        <v>301</v>
      </c>
      <c r="P6" s="397"/>
      <c r="Q6" s="397"/>
      <c r="R6" s="398"/>
      <c r="S6" s="396" t="s">
        <v>302</v>
      </c>
      <c r="T6" s="397"/>
      <c r="U6" s="397"/>
      <c r="V6" s="398"/>
      <c r="W6" s="395" t="s">
        <v>142</v>
      </c>
      <c r="X6" s="399" t="s">
        <v>303</v>
      </c>
      <c r="Y6" s="395" t="s">
        <v>304</v>
      </c>
      <c r="Z6" s="399"/>
      <c r="AA6" s="400" t="s">
        <v>305</v>
      </c>
      <c r="AB6" s="401"/>
      <c r="AC6" s="402" t="s">
        <v>306</v>
      </c>
      <c r="AD6" s="403" t="s">
        <v>261</v>
      </c>
      <c r="AE6" s="404"/>
      <c r="AF6" s="404" t="s">
        <v>307</v>
      </c>
      <c r="AG6" s="404"/>
      <c r="AH6" s="405" t="s">
        <v>308</v>
      </c>
      <c r="AI6" s="404"/>
      <c r="AJ6" s="404" t="s">
        <v>309</v>
      </c>
      <c r="AK6" s="406"/>
      <c r="AL6" s="404" t="s">
        <v>310</v>
      </c>
      <c r="AM6" s="406"/>
      <c r="AN6" s="406" t="s">
        <v>311</v>
      </c>
      <c r="AO6" s="407"/>
      <c r="AP6" s="406" t="s">
        <v>312</v>
      </c>
    </row>
    <row r="7" spans="1:42" x14ac:dyDescent="0.2">
      <c r="A7" s="408">
        <v>1</v>
      </c>
      <c r="B7" s="409" t="s">
        <v>427</v>
      </c>
      <c r="C7" s="410">
        <v>13</v>
      </c>
      <c r="D7" s="411" t="s">
        <v>313</v>
      </c>
      <c r="E7" s="411">
        <v>3</v>
      </c>
      <c r="F7" s="412" t="s">
        <v>420</v>
      </c>
      <c r="G7" s="410">
        <v>13</v>
      </c>
      <c r="H7" s="411" t="s">
        <v>313</v>
      </c>
      <c r="I7" s="411">
        <v>11</v>
      </c>
      <c r="J7" s="412" t="s">
        <v>455</v>
      </c>
      <c r="K7" s="410">
        <v>13</v>
      </c>
      <c r="L7" s="411" t="s">
        <v>313</v>
      </c>
      <c r="M7" s="411">
        <v>1</v>
      </c>
      <c r="N7" s="412" t="s">
        <v>323</v>
      </c>
      <c r="O7" s="410">
        <v>13</v>
      </c>
      <c r="P7" s="411" t="s">
        <v>313</v>
      </c>
      <c r="Q7" s="411">
        <v>9</v>
      </c>
      <c r="R7" s="412" t="s">
        <v>429</v>
      </c>
      <c r="S7" s="410"/>
      <c r="T7" s="411"/>
      <c r="U7" s="411"/>
      <c r="V7" s="412"/>
      <c r="W7" s="413">
        <f t="shared" ref="W7:W18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4</v>
      </c>
      <c r="X7" s="414">
        <v>18</v>
      </c>
      <c r="Y7" s="414">
        <v>72</v>
      </c>
      <c r="Z7" s="410">
        <f t="shared" ref="Z7:Z18" si="1">C7+G7+K7+O7+S7</f>
        <v>52</v>
      </c>
      <c r="AA7" s="411" t="s">
        <v>313</v>
      </c>
      <c r="AB7" s="415">
        <f t="shared" ref="AB7:AB18" si="2">E7+I7+M7+Q7+U7</f>
        <v>24</v>
      </c>
      <c r="AC7" s="416">
        <f t="shared" ref="AC7:AC18" si="3">Z7-AB7</f>
        <v>28</v>
      </c>
      <c r="AD7" s="417">
        <f t="shared" ref="AD7:AD10" si="4">SUM(AE7:AL7)</f>
        <v>258</v>
      </c>
      <c r="AE7" s="418">
        <f>IFERROR(INDEX(V!$R:$R,MATCH(AF7,V!$L:$L,0)),"")</f>
        <v>142</v>
      </c>
      <c r="AF7" s="419" t="str">
        <f t="shared" ref="AF7:AF18" si="5">IFERROR(LEFT($B7,(FIND(",",$B7,1)-1)),"")</f>
        <v>Olav Türk</v>
      </c>
      <c r="AG7" s="418">
        <f>IFERROR(INDEX(V!$R:$R,MATCH(AH7,V!$L:$L,0)),"")</f>
        <v>116</v>
      </c>
      <c r="AH7" s="419" t="str">
        <f t="shared" ref="AH7:AH18" si="6">IFERROR(MID($B7,FIND(", ",$B7)+2,256),"")</f>
        <v>Urmas Jõeäär</v>
      </c>
      <c r="AI7" s="418" t="str">
        <f>IFERROR(INDEX(V!$R:$R,MATCH(AJ7,V!$L:$L,0)),"")</f>
        <v/>
      </c>
      <c r="AJ7" s="419" t="str">
        <f t="shared" ref="AJ7:AJ18" si="7">IFERROR(MID($B7,FIND("^",SUBSTITUTE($B7,", ","^",1))+2,FIND("^",SUBSTITUTE($B7,", ","^",2))-FIND("^",SUBSTITUTE($B7,", ","^",1))-2),"")</f>
        <v/>
      </c>
      <c r="AK7" s="418" t="str">
        <f>IFERROR(INDEX(V!$R:$R,MATCH(AL7,V!$L:$L,0)),"")</f>
        <v/>
      </c>
      <c r="AL7" s="419" t="str">
        <f t="shared" ref="AL7:AL18" si="8">IFERROR(MID($B7,FIND(", ",$B7,FIND(", ",$B7,FIND(", ",$B7))+1)+2,30000),"")</f>
        <v/>
      </c>
      <c r="AM7" s="418" t="str">
        <f>IFERROR(INDEX(V!$R:$R,MATCH(AN7,V!$L:$L,0)),"")</f>
        <v/>
      </c>
      <c r="AN7" s="419" t="str">
        <f t="shared" ref="AN7:AN18" si="9">IFERROR(MID($B7,FIND(", ",$B7,FIND(", ",$B7)+1)+2,FIND(", ",$B7,FIND(", ",$B7,FIND(", ",$B7)+1)+1)-FIND(", ",$B7,FIND(", ",$B7)+1)-2),"")</f>
        <v/>
      </c>
      <c r="AO7" s="418" t="str">
        <f>IFERROR(INDEX(V!$R:$R,MATCH(AP7,V!$L:$L,0)),"")</f>
        <v/>
      </c>
      <c r="AP7" s="419" t="str">
        <f t="shared" ref="AP7:AP18" si="10">IFERROR(MID($B7,FIND(", ",$B7,FIND(", ",$B7,FIND(", ",$B7)+1)+1)+2,30000),"")</f>
        <v/>
      </c>
    </row>
    <row r="8" spans="1:42" x14ac:dyDescent="0.2">
      <c r="A8" s="408">
        <v>2</v>
      </c>
      <c r="B8" s="420" t="s">
        <v>455</v>
      </c>
      <c r="C8" s="410">
        <v>13</v>
      </c>
      <c r="D8" s="411" t="s">
        <v>313</v>
      </c>
      <c r="E8" s="411">
        <v>7</v>
      </c>
      <c r="F8" s="412" t="s">
        <v>324</v>
      </c>
      <c r="G8" s="410">
        <v>11</v>
      </c>
      <c r="H8" s="411" t="s">
        <v>313</v>
      </c>
      <c r="I8" s="411">
        <v>13</v>
      </c>
      <c r="J8" s="412" t="s">
        <v>454</v>
      </c>
      <c r="K8" s="410">
        <v>13</v>
      </c>
      <c r="L8" s="411" t="s">
        <v>313</v>
      </c>
      <c r="M8" s="411">
        <v>7</v>
      </c>
      <c r="N8" s="412" t="s">
        <v>394</v>
      </c>
      <c r="O8" s="410">
        <v>13</v>
      </c>
      <c r="P8" s="411" t="s">
        <v>313</v>
      </c>
      <c r="Q8" s="411">
        <v>11</v>
      </c>
      <c r="R8" s="412" t="s">
        <v>323</v>
      </c>
      <c r="S8" s="410"/>
      <c r="T8" s="411"/>
      <c r="U8" s="411"/>
      <c r="V8" s="412"/>
      <c r="W8" s="413">
        <f t="shared" si="0"/>
        <v>3</v>
      </c>
      <c r="X8" s="414">
        <v>22</v>
      </c>
      <c r="Y8" s="414">
        <v>66</v>
      </c>
      <c r="Z8" s="410">
        <f t="shared" si="1"/>
        <v>50</v>
      </c>
      <c r="AA8" s="411" t="s">
        <v>313</v>
      </c>
      <c r="AB8" s="415">
        <f t="shared" si="2"/>
        <v>38</v>
      </c>
      <c r="AC8" s="416">
        <f t="shared" si="3"/>
        <v>12</v>
      </c>
      <c r="AD8" s="417">
        <f t="shared" si="4"/>
        <v>164</v>
      </c>
      <c r="AE8" s="418">
        <f>IFERROR(INDEX(V!$R:$R,MATCH(AF8,V!$L:$L,0)),"")</f>
        <v>132</v>
      </c>
      <c r="AF8" s="419" t="str">
        <f t="shared" si="5"/>
        <v>Ivar Viljaste</v>
      </c>
      <c r="AG8" s="418">
        <f>IFERROR(INDEX(V!$R:$R,MATCH(AH8,V!$L:$L,0)),"")</f>
        <v>32</v>
      </c>
      <c r="AH8" s="419" t="str">
        <f t="shared" si="6"/>
        <v>Jaan Sepp</v>
      </c>
      <c r="AI8" s="418" t="str">
        <f>IFERROR(INDEX(V!$R:$R,MATCH(AJ8,V!$L:$L,0)),"")</f>
        <v/>
      </c>
      <c r="AJ8" s="419" t="str">
        <f t="shared" si="7"/>
        <v/>
      </c>
      <c r="AK8" s="418" t="str">
        <f>IFERROR(INDEX(V!$R:$R,MATCH(AL8,V!$L:$L,0)),"")</f>
        <v/>
      </c>
      <c r="AL8" s="419" t="str">
        <f t="shared" si="8"/>
        <v/>
      </c>
      <c r="AM8" s="418" t="str">
        <f>IFERROR(INDEX(V!$R:$R,MATCH(AN8,V!$L:$L,0)),"")</f>
        <v/>
      </c>
      <c r="AN8" s="419" t="str">
        <f t="shared" si="9"/>
        <v/>
      </c>
      <c r="AO8" s="418" t="str">
        <f>IFERROR(INDEX(V!$R:$R,MATCH(AP8,V!$L:$L,0)),"")</f>
        <v/>
      </c>
      <c r="AP8" s="419" t="str">
        <f t="shared" si="10"/>
        <v/>
      </c>
    </row>
    <row r="9" spans="1:42" ht="25.5" x14ac:dyDescent="0.2">
      <c r="A9" s="408">
        <v>3</v>
      </c>
      <c r="B9" s="421" t="s">
        <v>451</v>
      </c>
      <c r="C9" s="410">
        <v>7</v>
      </c>
      <c r="D9" s="411" t="s">
        <v>313</v>
      </c>
      <c r="E9" s="411">
        <v>13</v>
      </c>
      <c r="F9" s="412" t="s">
        <v>455</v>
      </c>
      <c r="G9" s="410">
        <v>13</v>
      </c>
      <c r="H9" s="411" t="s">
        <v>313</v>
      </c>
      <c r="I9" s="411">
        <v>3</v>
      </c>
      <c r="J9" s="412" t="s">
        <v>420</v>
      </c>
      <c r="K9" s="410">
        <v>13</v>
      </c>
      <c r="L9" s="411" t="s">
        <v>313</v>
      </c>
      <c r="M9" s="411">
        <v>5</v>
      </c>
      <c r="N9" s="412" t="s">
        <v>387</v>
      </c>
      <c r="O9" s="410">
        <v>13</v>
      </c>
      <c r="P9" s="411" t="s">
        <v>313</v>
      </c>
      <c r="Q9" s="411">
        <v>5</v>
      </c>
      <c r="R9" s="412" t="s">
        <v>322</v>
      </c>
      <c r="S9" s="410"/>
      <c r="T9" s="411"/>
      <c r="U9" s="411"/>
      <c r="V9" s="412"/>
      <c r="W9" s="413">
        <f t="shared" si="0"/>
        <v>3</v>
      </c>
      <c r="X9" s="414">
        <v>16</v>
      </c>
      <c r="Y9" s="414">
        <v>64</v>
      </c>
      <c r="Z9" s="410">
        <f t="shared" si="1"/>
        <v>46</v>
      </c>
      <c r="AA9" s="411" t="s">
        <v>313</v>
      </c>
      <c r="AB9" s="415">
        <f t="shared" si="2"/>
        <v>26</v>
      </c>
      <c r="AC9" s="416">
        <f t="shared" si="3"/>
        <v>20</v>
      </c>
      <c r="AD9" s="417">
        <f t="shared" si="4"/>
        <v>488</v>
      </c>
      <c r="AE9" s="418">
        <f>IFERROR(INDEX(V!$R:$R,MATCH(AF9,V!$L:$L,0)),"")</f>
        <v>156</v>
      </c>
      <c r="AF9" s="419" t="str">
        <f t="shared" si="5"/>
        <v>Aleksander Korikov</v>
      </c>
      <c r="AG9" s="418" t="str">
        <f>IFERROR(INDEX(V!$R:$R,MATCH(AH9,V!$L:$L,0)),"")</f>
        <v/>
      </c>
      <c r="AH9" s="419" t="str">
        <f t="shared" si="6"/>
        <v>Oleg Rõndenkov, Sander Rose</v>
      </c>
      <c r="AI9" s="418">
        <f>IFERROR(INDEX(V!$R:$R,MATCH(AJ9,V!$L:$L,0)),"")</f>
        <v>166</v>
      </c>
      <c r="AJ9" s="419" t="str">
        <f t="shared" si="7"/>
        <v>Oleg Rõndenkov</v>
      </c>
      <c r="AK9" s="418">
        <f>IFERROR(INDEX(V!$R:$R,MATCH(AL9,V!$L:$L,0)),"")</f>
        <v>166</v>
      </c>
      <c r="AL9" s="419" t="str">
        <f t="shared" si="8"/>
        <v>Sander Rose</v>
      </c>
      <c r="AM9" s="418" t="str">
        <f>IFERROR(INDEX(V!$R:$R,MATCH(AN9,V!$L:$L,0)),"")</f>
        <v/>
      </c>
      <c r="AN9" s="419" t="str">
        <f t="shared" si="9"/>
        <v/>
      </c>
      <c r="AO9" s="418" t="str">
        <f>IFERROR(INDEX(V!$R:$R,MATCH(AP9,V!$L:$L,0)),"")</f>
        <v/>
      </c>
      <c r="AP9" s="419" t="str">
        <f t="shared" si="10"/>
        <v/>
      </c>
    </row>
    <row r="10" spans="1:42" x14ac:dyDescent="0.2">
      <c r="A10" s="408">
        <v>4</v>
      </c>
      <c r="B10" s="421" t="s">
        <v>429</v>
      </c>
      <c r="C10" s="410">
        <v>13</v>
      </c>
      <c r="D10" s="411" t="s">
        <v>313</v>
      </c>
      <c r="E10" s="411">
        <v>10</v>
      </c>
      <c r="F10" s="412" t="s">
        <v>439</v>
      </c>
      <c r="G10" s="410">
        <v>13</v>
      </c>
      <c r="H10" s="411" t="s">
        <v>313</v>
      </c>
      <c r="I10" s="411">
        <v>3</v>
      </c>
      <c r="J10" s="412" t="s">
        <v>387</v>
      </c>
      <c r="K10" s="410">
        <v>13</v>
      </c>
      <c r="L10" s="411" t="s">
        <v>313</v>
      </c>
      <c r="M10" s="411">
        <v>2</v>
      </c>
      <c r="N10" s="412" t="s">
        <v>386</v>
      </c>
      <c r="O10" s="410">
        <v>9</v>
      </c>
      <c r="P10" s="411" t="s">
        <v>313</v>
      </c>
      <c r="Q10" s="411">
        <v>13</v>
      </c>
      <c r="R10" s="412" t="s">
        <v>454</v>
      </c>
      <c r="S10" s="410"/>
      <c r="T10" s="411"/>
      <c r="U10" s="411"/>
      <c r="V10" s="412"/>
      <c r="W10" s="413">
        <f t="shared" si="0"/>
        <v>3</v>
      </c>
      <c r="X10" s="414">
        <v>14</v>
      </c>
      <c r="Y10" s="414">
        <v>68</v>
      </c>
      <c r="Z10" s="410">
        <f t="shared" si="1"/>
        <v>48</v>
      </c>
      <c r="AA10" s="411" t="s">
        <v>313</v>
      </c>
      <c r="AB10" s="415">
        <f t="shared" si="2"/>
        <v>28</v>
      </c>
      <c r="AC10" s="416">
        <f t="shared" si="3"/>
        <v>20</v>
      </c>
      <c r="AD10" s="417">
        <f t="shared" si="4"/>
        <v>340</v>
      </c>
      <c r="AE10" s="418">
        <f>IFERROR(INDEX(V!$R:$R,MATCH(AF10,V!$L:$L,0)),"")</f>
        <v>234</v>
      </c>
      <c r="AF10" s="419" t="str">
        <f t="shared" si="5"/>
        <v>Kenneth Muusikus</v>
      </c>
      <c r="AG10" s="418">
        <f>IFERROR(INDEX(V!$R:$R,MATCH(AH10,V!$L:$L,0)),"")</f>
        <v>106</v>
      </c>
      <c r="AH10" s="419" t="str">
        <f t="shared" si="6"/>
        <v>Viktoria Mets</v>
      </c>
      <c r="AI10" s="418" t="str">
        <f>IFERROR(INDEX(V!$R:$R,MATCH(AJ10,V!$L:$L,0)),"")</f>
        <v/>
      </c>
      <c r="AJ10" s="419" t="str">
        <f t="shared" si="7"/>
        <v/>
      </c>
      <c r="AK10" s="418" t="str">
        <f>IFERROR(INDEX(V!$R:$R,MATCH(AL10,V!$L:$L,0)),"")</f>
        <v/>
      </c>
      <c r="AL10" s="419" t="str">
        <f t="shared" si="8"/>
        <v/>
      </c>
      <c r="AM10" s="418" t="str">
        <f>IFERROR(INDEX(V!$R:$R,MATCH(AN10,V!$L:$L,0)),"")</f>
        <v/>
      </c>
      <c r="AN10" s="419" t="str">
        <f t="shared" si="9"/>
        <v/>
      </c>
      <c r="AO10" s="418" t="str">
        <f>IFERROR(INDEX(V!$R:$R,MATCH(AP10,V!$L:$L,0)),"")</f>
        <v/>
      </c>
      <c r="AP10" s="419" t="str">
        <f t="shared" si="10"/>
        <v/>
      </c>
    </row>
    <row r="11" spans="1:42" x14ac:dyDescent="0.2">
      <c r="A11" s="408">
        <v>5</v>
      </c>
      <c r="B11" s="420" t="s">
        <v>323</v>
      </c>
      <c r="C11" s="410">
        <v>13</v>
      </c>
      <c r="D11" s="411" t="s">
        <v>313</v>
      </c>
      <c r="E11" s="411">
        <v>10</v>
      </c>
      <c r="F11" s="412" t="s">
        <v>394</v>
      </c>
      <c r="G11" s="410">
        <v>13</v>
      </c>
      <c r="H11" s="411" t="s">
        <v>313</v>
      </c>
      <c r="I11" s="411">
        <v>9</v>
      </c>
      <c r="J11" s="412" t="s">
        <v>386</v>
      </c>
      <c r="K11" s="410">
        <v>1</v>
      </c>
      <c r="L11" s="411" t="s">
        <v>313</v>
      </c>
      <c r="M11" s="411">
        <v>13</v>
      </c>
      <c r="N11" s="412" t="s">
        <v>454</v>
      </c>
      <c r="O11" s="410">
        <v>11</v>
      </c>
      <c r="P11" s="411" t="s">
        <v>313</v>
      </c>
      <c r="Q11" s="411">
        <v>13</v>
      </c>
      <c r="R11" s="412" t="s">
        <v>455</v>
      </c>
      <c r="S11" s="410"/>
      <c r="T11" s="411"/>
      <c r="U11" s="411"/>
      <c r="V11" s="412"/>
      <c r="W11" s="413">
        <f t="shared" si="0"/>
        <v>2</v>
      </c>
      <c r="X11" s="414">
        <v>20</v>
      </c>
      <c r="Y11" s="414">
        <v>70</v>
      </c>
      <c r="Z11" s="410">
        <f t="shared" si="1"/>
        <v>38</v>
      </c>
      <c r="AA11" s="411" t="s">
        <v>313</v>
      </c>
      <c r="AB11" s="415">
        <f t="shared" si="2"/>
        <v>45</v>
      </c>
      <c r="AC11" s="416">
        <f t="shared" si="3"/>
        <v>-7</v>
      </c>
      <c r="AD11" s="417">
        <f t="shared" ref="AD11:AD13" si="11">SUM(AE11:AL11)</f>
        <v>308</v>
      </c>
      <c r="AE11" s="418">
        <f>IFERROR(INDEX(V!$R:$R,MATCH(AF11,V!$L:$L,0)),"")</f>
        <v>154</v>
      </c>
      <c r="AF11" s="419" t="str">
        <f t="shared" si="5"/>
        <v>Kristel Tihhonjuk</v>
      </c>
      <c r="AG11" s="418">
        <f>IFERROR(INDEX(V!$R:$R,MATCH(AH11,V!$L:$L,0)),"")</f>
        <v>154</v>
      </c>
      <c r="AH11" s="419" t="str">
        <f t="shared" si="6"/>
        <v>Vadim Tihhonjuk</v>
      </c>
      <c r="AI11" s="418" t="str">
        <f>IFERROR(INDEX(V!$R:$R,MATCH(AJ11,V!$L:$L,0)),"")</f>
        <v/>
      </c>
      <c r="AJ11" s="419" t="str">
        <f t="shared" si="7"/>
        <v/>
      </c>
      <c r="AK11" s="418" t="str">
        <f>IFERROR(INDEX(V!$R:$R,MATCH(AL11,V!$L:$L,0)),"")</f>
        <v/>
      </c>
      <c r="AL11" s="419" t="str">
        <f t="shared" si="8"/>
        <v/>
      </c>
      <c r="AM11" s="418" t="str">
        <f>IFERROR(INDEX(V!$R:$R,MATCH(AN11,V!$L:$L,0)),"")</f>
        <v/>
      </c>
      <c r="AN11" s="419" t="str">
        <f t="shared" si="9"/>
        <v/>
      </c>
      <c r="AO11" s="418" t="str">
        <f>IFERROR(INDEX(V!$R:$R,MATCH(AP11,V!$L:$L,0)),"")</f>
        <v/>
      </c>
      <c r="AP11" s="419" t="str">
        <f t="shared" si="10"/>
        <v/>
      </c>
    </row>
    <row r="12" spans="1:42" x14ac:dyDescent="0.2">
      <c r="A12" s="408">
        <v>6</v>
      </c>
      <c r="B12" s="421" t="s">
        <v>387</v>
      </c>
      <c r="C12" s="410">
        <v>13</v>
      </c>
      <c r="D12" s="411" t="s">
        <v>313</v>
      </c>
      <c r="E12" s="411">
        <v>9</v>
      </c>
      <c r="F12" s="412" t="s">
        <v>456</v>
      </c>
      <c r="G12" s="410">
        <v>3</v>
      </c>
      <c r="H12" s="411" t="s">
        <v>313</v>
      </c>
      <c r="I12" s="411">
        <v>13</v>
      </c>
      <c r="J12" s="412" t="s">
        <v>429</v>
      </c>
      <c r="K12" s="410">
        <v>5</v>
      </c>
      <c r="L12" s="411" t="s">
        <v>313</v>
      </c>
      <c r="M12" s="411">
        <v>13</v>
      </c>
      <c r="N12" s="412" t="s">
        <v>324</v>
      </c>
      <c r="O12" s="410">
        <v>13</v>
      </c>
      <c r="P12" s="411" t="s">
        <v>313</v>
      </c>
      <c r="Q12" s="411">
        <v>4</v>
      </c>
      <c r="R12" s="412" t="s">
        <v>386</v>
      </c>
      <c r="S12" s="410"/>
      <c r="T12" s="411"/>
      <c r="U12" s="411"/>
      <c r="V12" s="412"/>
      <c r="W12" s="413">
        <f t="shared" si="0"/>
        <v>2</v>
      </c>
      <c r="X12" s="414">
        <v>16</v>
      </c>
      <c r="Y12" s="414">
        <v>62</v>
      </c>
      <c r="Z12" s="410">
        <f t="shared" si="1"/>
        <v>34</v>
      </c>
      <c r="AA12" s="411" t="s">
        <v>313</v>
      </c>
      <c r="AB12" s="415">
        <f t="shared" si="2"/>
        <v>39</v>
      </c>
      <c r="AC12" s="416">
        <f t="shared" si="3"/>
        <v>-5</v>
      </c>
      <c r="AD12" s="417">
        <f t="shared" si="11"/>
        <v>226</v>
      </c>
      <c r="AE12" s="418">
        <f>IFERROR(INDEX(V!$R:$R,MATCH(AF12,V!$L:$L,0)),"")</f>
        <v>102</v>
      </c>
      <c r="AF12" s="419" t="str">
        <f t="shared" si="5"/>
        <v>Ljudmila Varendi</v>
      </c>
      <c r="AG12" s="418">
        <f>IFERROR(INDEX(V!$R:$R,MATCH(AH12,V!$L:$L,0)),"")</f>
        <v>124</v>
      </c>
      <c r="AH12" s="419" t="str">
        <f t="shared" si="6"/>
        <v>Viktor Švarõgin</v>
      </c>
      <c r="AI12" s="418" t="str">
        <f>IFERROR(INDEX(V!$R:$R,MATCH(AJ12,V!$L:$L,0)),"")</f>
        <v/>
      </c>
      <c r="AJ12" s="419" t="str">
        <f t="shared" si="7"/>
        <v/>
      </c>
      <c r="AK12" s="418" t="str">
        <f>IFERROR(INDEX(V!$R:$R,MATCH(AL12,V!$L:$L,0)),"")</f>
        <v/>
      </c>
      <c r="AL12" s="419" t="str">
        <f t="shared" si="8"/>
        <v/>
      </c>
      <c r="AM12" s="418" t="str">
        <f>IFERROR(INDEX(V!$R:$R,MATCH(AN12,V!$L:$L,0)),"")</f>
        <v/>
      </c>
      <c r="AN12" s="419" t="str">
        <f t="shared" si="9"/>
        <v/>
      </c>
      <c r="AO12" s="418" t="str">
        <f>IFERROR(INDEX(V!$R:$R,MATCH(AP12,V!$L:$L,0)),"")</f>
        <v/>
      </c>
      <c r="AP12" s="419" t="str">
        <f t="shared" si="10"/>
        <v/>
      </c>
    </row>
    <row r="13" spans="1:42" x14ac:dyDescent="0.2">
      <c r="A13" s="408">
        <v>7</v>
      </c>
      <c r="B13" s="422" t="s">
        <v>394</v>
      </c>
      <c r="C13" s="410">
        <v>10</v>
      </c>
      <c r="D13" s="411" t="s">
        <v>313</v>
      </c>
      <c r="E13" s="411">
        <v>13</v>
      </c>
      <c r="F13" s="412" t="s">
        <v>323</v>
      </c>
      <c r="G13" s="410">
        <v>13</v>
      </c>
      <c r="H13" s="411" t="s">
        <v>313</v>
      </c>
      <c r="I13" s="411">
        <v>4</v>
      </c>
      <c r="J13" s="412" t="s">
        <v>439</v>
      </c>
      <c r="K13" s="410">
        <v>7</v>
      </c>
      <c r="L13" s="411" t="s">
        <v>313</v>
      </c>
      <c r="M13" s="411">
        <v>13</v>
      </c>
      <c r="N13" s="412" t="s">
        <v>455</v>
      </c>
      <c r="O13" s="410">
        <v>13</v>
      </c>
      <c r="P13" s="411" t="s">
        <v>313</v>
      </c>
      <c r="Q13" s="411">
        <v>3</v>
      </c>
      <c r="R13" s="412" t="s">
        <v>456</v>
      </c>
      <c r="S13" s="410"/>
      <c r="T13" s="411"/>
      <c r="U13" s="411"/>
      <c r="V13" s="412"/>
      <c r="W13" s="413">
        <f t="shared" si="0"/>
        <v>2</v>
      </c>
      <c r="X13" s="414">
        <v>12</v>
      </c>
      <c r="Y13" s="414">
        <v>72</v>
      </c>
      <c r="Z13" s="410">
        <f t="shared" si="1"/>
        <v>43</v>
      </c>
      <c r="AA13" s="411" t="s">
        <v>313</v>
      </c>
      <c r="AB13" s="415">
        <f t="shared" si="2"/>
        <v>33</v>
      </c>
      <c r="AC13" s="416">
        <f t="shared" si="3"/>
        <v>10</v>
      </c>
      <c r="AD13" s="417">
        <f t="shared" si="11"/>
        <v>176</v>
      </c>
      <c r="AE13" s="418">
        <f>IFERROR(INDEX(V!$R:$R,MATCH(AF13,V!$L:$L,0)),"")</f>
        <v>62</v>
      </c>
      <c r="AF13" s="419" t="str">
        <f t="shared" si="5"/>
        <v>Boriss Klubov</v>
      </c>
      <c r="AG13" s="418">
        <f>IFERROR(INDEX(V!$R:$R,MATCH(AH13,V!$L:$L,0)),"")</f>
        <v>114</v>
      </c>
      <c r="AH13" s="419" t="str">
        <f t="shared" si="6"/>
        <v>Elmo Lageda</v>
      </c>
      <c r="AI13" s="418" t="str">
        <f>IFERROR(INDEX(V!$R:$R,MATCH(AJ13,V!$L:$L,0)),"")</f>
        <v/>
      </c>
      <c r="AJ13" s="419" t="str">
        <f t="shared" si="7"/>
        <v/>
      </c>
      <c r="AK13" s="418" t="str">
        <f>IFERROR(INDEX(V!$R:$R,MATCH(AL13,V!$L:$L,0)),"")</f>
        <v/>
      </c>
      <c r="AL13" s="419" t="str">
        <f t="shared" si="8"/>
        <v/>
      </c>
      <c r="AM13" s="418" t="str">
        <f>IFERROR(INDEX(V!$R:$R,MATCH(AN13,V!$L:$L,0)),"")</f>
        <v/>
      </c>
      <c r="AN13" s="419" t="str">
        <f t="shared" si="9"/>
        <v/>
      </c>
      <c r="AO13" s="418" t="str">
        <f>IFERROR(INDEX(V!$R:$R,MATCH(AP13,V!$L:$L,0)),"")</f>
        <v/>
      </c>
      <c r="AP13" s="419" t="str">
        <f t="shared" si="10"/>
        <v/>
      </c>
    </row>
    <row r="14" spans="1:42" x14ac:dyDescent="0.2">
      <c r="A14" s="408">
        <v>8</v>
      </c>
      <c r="B14" s="422" t="s">
        <v>322</v>
      </c>
      <c r="C14" s="410">
        <v>10</v>
      </c>
      <c r="D14" s="411" t="s">
        <v>313</v>
      </c>
      <c r="E14" s="411">
        <v>13</v>
      </c>
      <c r="F14" s="412" t="s">
        <v>386</v>
      </c>
      <c r="G14" s="410">
        <v>13</v>
      </c>
      <c r="H14" s="411" t="s">
        <v>313</v>
      </c>
      <c r="I14" s="411">
        <v>12</v>
      </c>
      <c r="J14" s="412" t="s">
        <v>456</v>
      </c>
      <c r="K14" s="410">
        <v>13</v>
      </c>
      <c r="L14" s="411" t="s">
        <v>313</v>
      </c>
      <c r="M14" s="411">
        <v>2</v>
      </c>
      <c r="N14" s="412" t="s">
        <v>439</v>
      </c>
      <c r="O14" s="410">
        <v>5</v>
      </c>
      <c r="P14" s="411" t="s">
        <v>313</v>
      </c>
      <c r="Q14" s="411">
        <v>13</v>
      </c>
      <c r="R14" s="412" t="s">
        <v>324</v>
      </c>
      <c r="S14" s="410"/>
      <c r="T14" s="411"/>
      <c r="U14" s="411"/>
      <c r="V14" s="412"/>
      <c r="W14" s="413">
        <f t="shared" si="0"/>
        <v>2</v>
      </c>
      <c r="X14" s="414">
        <v>10</v>
      </c>
      <c r="Y14" s="414">
        <v>64</v>
      </c>
      <c r="Z14" s="410">
        <f t="shared" si="1"/>
        <v>41</v>
      </c>
      <c r="AA14" s="411" t="s">
        <v>313</v>
      </c>
      <c r="AB14" s="415">
        <f t="shared" si="2"/>
        <v>40</v>
      </c>
      <c r="AC14" s="416">
        <f t="shared" si="3"/>
        <v>1</v>
      </c>
      <c r="AD14" s="417">
        <f t="shared" ref="AD14:AD15" si="12">SUM(AE14:AL14)</f>
        <v>302</v>
      </c>
      <c r="AE14" s="418">
        <f>IFERROR(INDEX(V!$R:$R,MATCH(AF14,V!$L:$L,0)),"")</f>
        <v>152</v>
      </c>
      <c r="AF14" s="419" t="str">
        <f t="shared" si="5"/>
        <v>Andrei Grintšak</v>
      </c>
      <c r="AG14" s="418">
        <f>IFERROR(INDEX(V!$R:$R,MATCH(AH14,V!$L:$L,0)),"")</f>
        <v>150</v>
      </c>
      <c r="AH14" s="419" t="str">
        <f t="shared" si="6"/>
        <v>Enn Tokman</v>
      </c>
      <c r="AI14" s="418" t="str">
        <f>IFERROR(INDEX(V!$R:$R,MATCH(AJ14,V!$L:$L,0)),"")</f>
        <v/>
      </c>
      <c r="AJ14" s="419" t="str">
        <f t="shared" si="7"/>
        <v/>
      </c>
      <c r="AK14" s="418" t="str">
        <f>IFERROR(INDEX(V!$R:$R,MATCH(AL14,V!$L:$L,0)),"")</f>
        <v/>
      </c>
      <c r="AL14" s="419" t="str">
        <f t="shared" si="8"/>
        <v/>
      </c>
      <c r="AM14" s="418" t="str">
        <f>IFERROR(INDEX(V!$R:$R,MATCH(AN14,V!$L:$L,0)),"")</f>
        <v/>
      </c>
      <c r="AN14" s="419" t="str">
        <f t="shared" si="9"/>
        <v/>
      </c>
      <c r="AO14" s="418" t="str">
        <f>IFERROR(INDEX(V!$R:$R,MATCH(AP14,V!$L:$L,0)),"")</f>
        <v/>
      </c>
      <c r="AP14" s="419" t="str">
        <f t="shared" si="10"/>
        <v/>
      </c>
    </row>
    <row r="15" spans="1:42" x14ac:dyDescent="0.2">
      <c r="A15" s="408">
        <v>9</v>
      </c>
      <c r="B15" s="421" t="s">
        <v>386</v>
      </c>
      <c r="C15" s="410">
        <v>13</v>
      </c>
      <c r="D15" s="411" t="s">
        <v>313</v>
      </c>
      <c r="E15" s="411">
        <v>10</v>
      </c>
      <c r="F15" s="412" t="s">
        <v>322</v>
      </c>
      <c r="G15" s="410">
        <v>9</v>
      </c>
      <c r="H15" s="411" t="s">
        <v>313</v>
      </c>
      <c r="I15" s="411">
        <v>13</v>
      </c>
      <c r="J15" s="412" t="s">
        <v>323</v>
      </c>
      <c r="K15" s="410">
        <v>2</v>
      </c>
      <c r="L15" s="411" t="s">
        <v>313</v>
      </c>
      <c r="M15" s="411">
        <v>13</v>
      </c>
      <c r="N15" s="412" t="s">
        <v>429</v>
      </c>
      <c r="O15" s="410">
        <v>4</v>
      </c>
      <c r="P15" s="411" t="s">
        <v>313</v>
      </c>
      <c r="Q15" s="411">
        <v>13</v>
      </c>
      <c r="R15" s="412" t="s">
        <v>387</v>
      </c>
      <c r="S15" s="410"/>
      <c r="T15" s="411"/>
      <c r="U15" s="411"/>
      <c r="V15" s="412"/>
      <c r="W15" s="413">
        <f t="shared" si="0"/>
        <v>1</v>
      </c>
      <c r="X15" s="414">
        <v>18</v>
      </c>
      <c r="Y15" s="414">
        <v>60</v>
      </c>
      <c r="Z15" s="410">
        <f t="shared" si="1"/>
        <v>28</v>
      </c>
      <c r="AA15" s="411" t="s">
        <v>313</v>
      </c>
      <c r="AB15" s="415">
        <f t="shared" si="2"/>
        <v>49</v>
      </c>
      <c r="AC15" s="416">
        <f t="shared" si="3"/>
        <v>-21</v>
      </c>
      <c r="AD15" s="417">
        <f t="shared" si="12"/>
        <v>208</v>
      </c>
      <c r="AE15" s="418">
        <f>IFERROR(INDEX(V!$R:$R,MATCH(AF15,V!$L:$L,0)),"")</f>
        <v>116</v>
      </c>
      <c r="AF15" s="419" t="str">
        <f t="shared" si="5"/>
        <v>Jaan Saar</v>
      </c>
      <c r="AG15" s="418">
        <f>IFERROR(INDEX(V!$R:$R,MATCH(AH15,V!$L:$L,0)),"")</f>
        <v>92</v>
      </c>
      <c r="AH15" s="419" t="str">
        <f t="shared" si="6"/>
        <v>Liidia Põllu</v>
      </c>
      <c r="AI15" s="418" t="str">
        <f>IFERROR(INDEX(V!$R:$R,MATCH(AJ15,V!$L:$L,0)),"")</f>
        <v/>
      </c>
      <c r="AJ15" s="419" t="str">
        <f t="shared" si="7"/>
        <v/>
      </c>
      <c r="AK15" s="418" t="str">
        <f>IFERROR(INDEX(V!$R:$R,MATCH(AL15,V!$L:$L,0)),"")</f>
        <v/>
      </c>
      <c r="AL15" s="419" t="str">
        <f t="shared" si="8"/>
        <v/>
      </c>
      <c r="AM15" s="418" t="str">
        <f>IFERROR(INDEX(V!$R:$R,MATCH(AN15,V!$L:$L,0)),"")</f>
        <v/>
      </c>
      <c r="AN15" s="419" t="str">
        <f t="shared" si="9"/>
        <v/>
      </c>
      <c r="AO15" s="418" t="str">
        <f>IFERROR(INDEX(V!$R:$R,MATCH(AP15,V!$L:$L,0)),"")</f>
        <v/>
      </c>
      <c r="AP15" s="419" t="str">
        <f t="shared" si="10"/>
        <v/>
      </c>
    </row>
    <row r="16" spans="1:42" x14ac:dyDescent="0.2">
      <c r="A16" s="408">
        <v>10</v>
      </c>
      <c r="B16" s="422" t="s">
        <v>420</v>
      </c>
      <c r="C16" s="410">
        <v>3</v>
      </c>
      <c r="D16" s="411" t="s">
        <v>313</v>
      </c>
      <c r="E16" s="411">
        <v>13</v>
      </c>
      <c r="F16" s="412" t="s">
        <v>454</v>
      </c>
      <c r="G16" s="410">
        <v>3</v>
      </c>
      <c r="H16" s="411" t="s">
        <v>313</v>
      </c>
      <c r="I16" s="411">
        <v>13</v>
      </c>
      <c r="J16" s="412" t="s">
        <v>324</v>
      </c>
      <c r="K16" s="410">
        <v>11</v>
      </c>
      <c r="L16" s="411" t="s">
        <v>313</v>
      </c>
      <c r="M16" s="411">
        <v>13</v>
      </c>
      <c r="N16" s="412" t="s">
        <v>456</v>
      </c>
      <c r="O16" s="410">
        <v>13</v>
      </c>
      <c r="P16" s="411" t="s">
        <v>313</v>
      </c>
      <c r="Q16" s="411">
        <v>9</v>
      </c>
      <c r="R16" s="412" t="s">
        <v>439</v>
      </c>
      <c r="S16" s="410"/>
      <c r="T16" s="411"/>
      <c r="U16" s="411"/>
      <c r="V16" s="412"/>
      <c r="W16" s="413">
        <f t="shared" si="0"/>
        <v>1</v>
      </c>
      <c r="X16" s="414">
        <v>16</v>
      </c>
      <c r="Y16" s="414">
        <v>64</v>
      </c>
      <c r="Z16" s="410">
        <f t="shared" si="1"/>
        <v>30</v>
      </c>
      <c r="AA16" s="411" t="s">
        <v>313</v>
      </c>
      <c r="AB16" s="415">
        <f t="shared" si="2"/>
        <v>48</v>
      </c>
      <c r="AC16" s="416">
        <f t="shared" si="3"/>
        <v>-18</v>
      </c>
      <c r="AD16" s="417">
        <f t="shared" ref="AD16:AD18" si="13">SUM(AE16:AL16)</f>
        <v>222</v>
      </c>
      <c r="AE16" s="418">
        <f>IFERROR(INDEX(V!$R:$R,MATCH(AF16,V!$L:$L,0)),"")</f>
        <v>94</v>
      </c>
      <c r="AF16" s="419" t="str">
        <f t="shared" si="5"/>
        <v>Johannes Neiland</v>
      </c>
      <c r="AG16" s="418">
        <f>IFERROR(INDEX(V!$R:$R,MATCH(AH16,V!$L:$L,0)),"")</f>
        <v>128</v>
      </c>
      <c r="AH16" s="419" t="str">
        <f t="shared" si="6"/>
        <v>Urmas Randlaine</v>
      </c>
      <c r="AI16" s="418" t="str">
        <f>IFERROR(INDEX(V!$R:$R,MATCH(AJ16,V!$L:$L,0)),"")</f>
        <v/>
      </c>
      <c r="AJ16" s="419" t="str">
        <f t="shared" si="7"/>
        <v/>
      </c>
      <c r="AK16" s="418" t="str">
        <f>IFERROR(INDEX(V!$R:$R,MATCH(AL16,V!$L:$L,0)),"")</f>
        <v/>
      </c>
      <c r="AL16" s="419" t="str">
        <f t="shared" si="8"/>
        <v/>
      </c>
      <c r="AM16" s="418" t="str">
        <f>IFERROR(INDEX(V!$R:$R,MATCH(AN16,V!$L:$L,0)),"")</f>
        <v/>
      </c>
      <c r="AN16" s="419" t="str">
        <f t="shared" si="9"/>
        <v/>
      </c>
      <c r="AO16" s="418" t="str">
        <f>IFERROR(INDEX(V!$R:$R,MATCH(AP16,V!$L:$L,0)),"")</f>
        <v/>
      </c>
      <c r="AP16" s="419" t="str">
        <f t="shared" si="10"/>
        <v/>
      </c>
    </row>
    <row r="17" spans="1:42" x14ac:dyDescent="0.2">
      <c r="A17" s="408">
        <v>11</v>
      </c>
      <c r="B17" s="421" t="s">
        <v>406</v>
      </c>
      <c r="C17" s="410">
        <v>9</v>
      </c>
      <c r="D17" s="411" t="s">
        <v>313</v>
      </c>
      <c r="E17" s="411">
        <v>13</v>
      </c>
      <c r="F17" s="412" t="s">
        <v>387</v>
      </c>
      <c r="G17" s="410">
        <v>12</v>
      </c>
      <c r="H17" s="411" t="s">
        <v>313</v>
      </c>
      <c r="I17" s="411">
        <v>13</v>
      </c>
      <c r="J17" s="412" t="s">
        <v>322</v>
      </c>
      <c r="K17" s="410">
        <v>13</v>
      </c>
      <c r="L17" s="411" t="s">
        <v>313</v>
      </c>
      <c r="M17" s="411">
        <v>11</v>
      </c>
      <c r="N17" s="412" t="s">
        <v>420</v>
      </c>
      <c r="O17" s="410">
        <v>3</v>
      </c>
      <c r="P17" s="411" t="s">
        <v>313</v>
      </c>
      <c r="Q17" s="411">
        <v>13</v>
      </c>
      <c r="R17" s="412" t="s">
        <v>394</v>
      </c>
      <c r="S17" s="410"/>
      <c r="T17" s="411"/>
      <c r="U17" s="411"/>
      <c r="V17" s="412"/>
      <c r="W17" s="413">
        <f t="shared" si="0"/>
        <v>1</v>
      </c>
      <c r="X17" s="414">
        <v>14</v>
      </c>
      <c r="Y17" s="414">
        <v>54</v>
      </c>
      <c r="Z17" s="410">
        <f t="shared" si="1"/>
        <v>37</v>
      </c>
      <c r="AA17" s="411" t="s">
        <v>313</v>
      </c>
      <c r="AB17" s="415">
        <f t="shared" si="2"/>
        <v>50</v>
      </c>
      <c r="AC17" s="416">
        <f t="shared" si="3"/>
        <v>-13</v>
      </c>
      <c r="AD17" s="417">
        <f t="shared" si="13"/>
        <v>234</v>
      </c>
      <c r="AE17" s="418">
        <f>IFERROR(INDEX(V!$R:$R,MATCH(AF17,V!$L:$L,0)),"")</f>
        <v>132</v>
      </c>
      <c r="AF17" s="419" t="str">
        <f t="shared" si="5"/>
        <v>Andres Veski</v>
      </c>
      <c r="AG17" s="418">
        <f>IFERROR(INDEX(V!$R:$R,MATCH(AH17,V!$L:$L,0)),"")</f>
        <v>102</v>
      </c>
      <c r="AH17" s="419" t="str">
        <f t="shared" si="6"/>
        <v>Svetlana Veski</v>
      </c>
      <c r="AI17" s="418" t="str">
        <f>IFERROR(INDEX(V!$R:$R,MATCH(AJ17,V!$L:$L,0)),"")</f>
        <v/>
      </c>
      <c r="AJ17" s="419" t="str">
        <f t="shared" si="7"/>
        <v/>
      </c>
      <c r="AK17" s="418" t="str">
        <f>IFERROR(INDEX(V!$R:$R,MATCH(AL17,V!$L:$L,0)),"")</f>
        <v/>
      </c>
      <c r="AL17" s="419" t="str">
        <f t="shared" si="8"/>
        <v/>
      </c>
      <c r="AM17" s="418" t="str">
        <f>IFERROR(INDEX(V!$R:$R,MATCH(AN17,V!$L:$L,0)),"")</f>
        <v/>
      </c>
      <c r="AN17" s="419" t="str">
        <f t="shared" si="9"/>
        <v/>
      </c>
      <c r="AO17" s="418" t="str">
        <f>IFERROR(INDEX(V!$R:$R,MATCH(AP17,V!$L:$L,0)),"")</f>
        <v/>
      </c>
      <c r="AP17" s="419" t="str">
        <f t="shared" si="10"/>
        <v/>
      </c>
    </row>
    <row r="18" spans="1:42" x14ac:dyDescent="0.2">
      <c r="A18" s="408">
        <v>12</v>
      </c>
      <c r="B18" s="422" t="s">
        <v>439</v>
      </c>
      <c r="C18" s="410">
        <v>10</v>
      </c>
      <c r="D18" s="411" t="s">
        <v>313</v>
      </c>
      <c r="E18" s="411">
        <v>13</v>
      </c>
      <c r="F18" s="412" t="s">
        <v>429</v>
      </c>
      <c r="G18" s="410">
        <v>4</v>
      </c>
      <c r="H18" s="411" t="s">
        <v>313</v>
      </c>
      <c r="I18" s="411">
        <v>13</v>
      </c>
      <c r="J18" s="412" t="s">
        <v>394</v>
      </c>
      <c r="K18" s="410">
        <v>2</v>
      </c>
      <c r="L18" s="411" t="s">
        <v>313</v>
      </c>
      <c r="M18" s="411">
        <v>13</v>
      </c>
      <c r="N18" s="412" t="s">
        <v>322</v>
      </c>
      <c r="O18" s="410">
        <v>9</v>
      </c>
      <c r="P18" s="411" t="s">
        <v>313</v>
      </c>
      <c r="Q18" s="411">
        <v>13</v>
      </c>
      <c r="R18" s="412" t="s">
        <v>420</v>
      </c>
      <c r="S18" s="410"/>
      <c r="T18" s="411"/>
      <c r="U18" s="411"/>
      <c r="V18" s="412"/>
      <c r="W18" s="413">
        <f t="shared" si="0"/>
        <v>0</v>
      </c>
      <c r="X18" s="414">
        <v>16</v>
      </c>
      <c r="Y18" s="414">
        <v>52</v>
      </c>
      <c r="Z18" s="410">
        <f t="shared" si="1"/>
        <v>25</v>
      </c>
      <c r="AA18" s="411" t="s">
        <v>313</v>
      </c>
      <c r="AB18" s="415">
        <f t="shared" si="2"/>
        <v>52</v>
      </c>
      <c r="AC18" s="416">
        <f t="shared" si="3"/>
        <v>-27</v>
      </c>
      <c r="AD18" s="417">
        <f t="shared" si="13"/>
        <v>12</v>
      </c>
      <c r="AE18" s="418">
        <f>IFERROR(INDEX(V!$R:$R,MATCH(AF18,V!$L:$L,0)),"")</f>
        <v>6</v>
      </c>
      <c r="AF18" s="419" t="str">
        <f t="shared" si="5"/>
        <v>Heili Vasser</v>
      </c>
      <c r="AG18" s="418">
        <f>IFERROR(INDEX(V!$R:$R,MATCH(AH18,V!$L:$L,0)),"")</f>
        <v>6</v>
      </c>
      <c r="AH18" s="419" t="str">
        <f t="shared" si="6"/>
        <v>Vello Vasser</v>
      </c>
      <c r="AI18" s="418" t="str">
        <f>IFERROR(INDEX(V!$R:$R,MATCH(AJ18,V!$L:$L,0)),"")</f>
        <v/>
      </c>
      <c r="AJ18" s="419" t="str">
        <f t="shared" si="7"/>
        <v/>
      </c>
      <c r="AK18" s="418" t="str">
        <f>IFERROR(INDEX(V!$R:$R,MATCH(AL18,V!$L:$L,0)),"")</f>
        <v/>
      </c>
      <c r="AL18" s="419" t="str">
        <f t="shared" si="8"/>
        <v/>
      </c>
      <c r="AM18" s="418" t="str">
        <f>IFERROR(INDEX(V!$R:$R,MATCH(AN18,V!$L:$L,0)),"")</f>
        <v/>
      </c>
      <c r="AN18" s="419" t="str">
        <f t="shared" si="9"/>
        <v/>
      </c>
      <c r="AO18" s="418" t="str">
        <f>IFERROR(INDEX(V!$R:$R,MATCH(AP18,V!$L:$L,0)),"")</f>
        <v/>
      </c>
      <c r="AP18" s="419" t="str">
        <f t="shared" si="10"/>
        <v/>
      </c>
    </row>
    <row r="21" spans="1:42" hidden="1" x14ac:dyDescent="0.2"/>
    <row r="22" spans="1:42" hidden="1" x14ac:dyDescent="0.2"/>
    <row r="23" spans="1:42" hidden="1" x14ac:dyDescent="0.2"/>
    <row r="24" spans="1:42" hidden="1" x14ac:dyDescent="0.2"/>
    <row r="25" spans="1:42" hidden="1" x14ac:dyDescent="0.2"/>
    <row r="26" spans="1:42" hidden="1" x14ac:dyDescent="0.2"/>
    <row r="27" spans="1:42" hidden="1" x14ac:dyDescent="0.2"/>
    <row r="28" spans="1:42" hidden="1" x14ac:dyDescent="0.2"/>
    <row r="29" spans="1:42" hidden="1" x14ac:dyDescent="0.2"/>
    <row r="30" spans="1:42" hidden="1" x14ac:dyDescent="0.2"/>
    <row r="31" spans="1:42" hidden="1" x14ac:dyDescent="0.2"/>
    <row r="32" spans="1:4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6" hidden="1" x14ac:dyDescent="0.2"/>
    <row r="290" spans="1:6" hidden="1" x14ac:dyDescent="0.2"/>
    <row r="291" spans="1:6" hidden="1" x14ac:dyDescent="0.2"/>
    <row r="292" spans="1:6" hidden="1" x14ac:dyDescent="0.2"/>
    <row r="293" spans="1:6" hidden="1" x14ac:dyDescent="0.2"/>
    <row r="294" spans="1:6" hidden="1" x14ac:dyDescent="0.2"/>
    <row r="295" spans="1:6" hidden="1" x14ac:dyDescent="0.2"/>
    <row r="296" spans="1:6" hidden="1" x14ac:dyDescent="0.2"/>
    <row r="297" spans="1:6" hidden="1" x14ac:dyDescent="0.2"/>
    <row r="298" spans="1:6" hidden="1" x14ac:dyDescent="0.2"/>
    <row r="299" spans="1:6" x14ac:dyDescent="0.2">
      <c r="A299" s="378"/>
      <c r="B299" s="378"/>
      <c r="C299" s="423" t="s">
        <v>316</v>
      </c>
      <c r="F299" s="424"/>
    </row>
    <row r="300" spans="1:6" x14ac:dyDescent="0.2">
      <c r="A300" s="425">
        <v>1</v>
      </c>
      <c r="B300" s="426" t="str">
        <f t="shared" ref="B300:B311" si="14">IFERROR(INDEX(B$1:B$95,MATCH(A300,A$1:A$95,0)),"")</f>
        <v>Olav Türk, Urmas Jõeäär</v>
      </c>
      <c r="C300" s="427">
        <f>LARGE(A300:A400,1)*2+2-A300*2</f>
        <v>24</v>
      </c>
      <c r="F300" s="424"/>
    </row>
    <row r="301" spans="1:6" x14ac:dyDescent="0.2">
      <c r="A301" s="425">
        <v>2</v>
      </c>
      <c r="B301" s="426" t="str">
        <f t="shared" si="14"/>
        <v>Ivar Viljaste, Jaan Sepp</v>
      </c>
      <c r="C301" s="427">
        <f t="shared" ref="C301:C311" si="15">LARGE(A301:A401,1)*2+2-A301*2</f>
        <v>22</v>
      </c>
      <c r="F301" s="424"/>
    </row>
    <row r="302" spans="1:6" ht="25.5" x14ac:dyDescent="0.2">
      <c r="A302" s="425">
        <v>3</v>
      </c>
      <c r="B302" s="426" t="str">
        <f t="shared" si="14"/>
        <v>Aleksander Korikov, Oleg Rõndenkov, Sander Rose</v>
      </c>
      <c r="C302" s="427">
        <f t="shared" si="15"/>
        <v>20</v>
      </c>
      <c r="F302" s="424"/>
    </row>
    <row r="303" spans="1:6" x14ac:dyDescent="0.2">
      <c r="A303" s="425">
        <v>4</v>
      </c>
      <c r="B303" s="426" t="str">
        <f t="shared" si="14"/>
        <v>Kenneth Muusikus, Viktoria Mets</v>
      </c>
      <c r="C303" s="427">
        <f t="shared" si="15"/>
        <v>18</v>
      </c>
      <c r="F303" s="424"/>
    </row>
    <row r="304" spans="1:6" x14ac:dyDescent="0.2">
      <c r="A304" s="425">
        <v>5</v>
      </c>
      <c r="B304" s="426" t="str">
        <f t="shared" si="14"/>
        <v>Kristel Tihhonjuk, Vadim Tihhonjuk</v>
      </c>
      <c r="C304" s="427">
        <f t="shared" si="15"/>
        <v>16</v>
      </c>
      <c r="F304" s="424"/>
    </row>
    <row r="305" spans="1:6" x14ac:dyDescent="0.2">
      <c r="A305" s="425">
        <v>6</v>
      </c>
      <c r="B305" s="426" t="str">
        <f t="shared" si="14"/>
        <v>Ljudmila Varendi, Viktor Švarõgin</v>
      </c>
      <c r="C305" s="427">
        <f t="shared" si="15"/>
        <v>14</v>
      </c>
      <c r="F305" s="424"/>
    </row>
    <row r="306" spans="1:6" x14ac:dyDescent="0.2">
      <c r="A306" s="425">
        <v>7</v>
      </c>
      <c r="B306" s="426" t="str">
        <f t="shared" si="14"/>
        <v>Boriss Klubov, Elmo Lageda</v>
      </c>
      <c r="C306" s="427">
        <f t="shared" si="15"/>
        <v>12</v>
      </c>
      <c r="F306" s="424"/>
    </row>
    <row r="307" spans="1:6" x14ac:dyDescent="0.2">
      <c r="A307" s="425">
        <v>8</v>
      </c>
      <c r="B307" s="426" t="str">
        <f t="shared" si="14"/>
        <v>Andrei Grintšak, Enn Tokman</v>
      </c>
      <c r="C307" s="427">
        <f t="shared" si="15"/>
        <v>10</v>
      </c>
      <c r="F307" s="424"/>
    </row>
    <row r="308" spans="1:6" x14ac:dyDescent="0.2">
      <c r="A308" s="425">
        <v>9</v>
      </c>
      <c r="B308" s="426" t="str">
        <f t="shared" si="14"/>
        <v>Jaan Saar, Liidia Põllu</v>
      </c>
      <c r="C308" s="427">
        <f t="shared" si="15"/>
        <v>8</v>
      </c>
      <c r="F308" s="424"/>
    </row>
    <row r="309" spans="1:6" x14ac:dyDescent="0.2">
      <c r="A309" s="425">
        <v>10</v>
      </c>
      <c r="B309" s="426" t="str">
        <f t="shared" si="14"/>
        <v>Johannes Neiland, Urmas Randlaine</v>
      </c>
      <c r="C309" s="427">
        <f t="shared" si="15"/>
        <v>6</v>
      </c>
    </row>
    <row r="310" spans="1:6" x14ac:dyDescent="0.2">
      <c r="A310" s="425">
        <v>11</v>
      </c>
      <c r="B310" s="426" t="str">
        <f t="shared" si="14"/>
        <v>Andres Veski, Svetlana Veski</v>
      </c>
      <c r="C310" s="427">
        <f t="shared" si="15"/>
        <v>4</v>
      </c>
    </row>
    <row r="311" spans="1:6" x14ac:dyDescent="0.2">
      <c r="A311" s="425">
        <v>12</v>
      </c>
      <c r="B311" s="426" t="str">
        <f t="shared" si="14"/>
        <v>Heili Vasser, Vello Vasser</v>
      </c>
      <c r="C311" s="427">
        <f t="shared" si="15"/>
        <v>2</v>
      </c>
    </row>
  </sheetData>
  <conditionalFormatting sqref="AJ7:AJ18 AH7:AH18 AL7:AL18">
    <cfRule type="expression" dxfId="215" priority="36">
      <formula>AND(AG7="",FIND(",",AH7))</formula>
    </cfRule>
    <cfRule type="expression" dxfId="214" priority="38">
      <formula>AND(AG7="",COUNTIF(AH7,"*,*")=0)</formula>
    </cfRule>
  </conditionalFormatting>
  <conditionalFormatting sqref="AF7:AF18">
    <cfRule type="expression" dxfId="213" priority="37">
      <formula>AND(AE7="",COUNTIF(AF7,"*,*")=0)</formula>
    </cfRule>
  </conditionalFormatting>
  <conditionalFormatting sqref="AN7:AN18 AP7:AP18">
    <cfRule type="expression" dxfId="212" priority="34">
      <formula>AND(AM7="",COUNTIF(AN7,"*,*")=0)</formula>
    </cfRule>
    <cfRule type="expression" dxfId="211" priority="35">
      <formula>AND(AM7="",FIND(",",AN7))</formula>
    </cfRule>
  </conditionalFormatting>
  <conditionalFormatting sqref="B300:B311">
    <cfRule type="expression" dxfId="210" priority="39">
      <formula>A300=3</formula>
    </cfRule>
    <cfRule type="expression" dxfId="209" priority="40">
      <formula>A300=2</formula>
    </cfRule>
    <cfRule type="expression" dxfId="208" priority="41">
      <formula>A300=1</formula>
    </cfRule>
    <cfRule type="containsBlanks" dxfId="207" priority="42">
      <formula>LEN(TRIM(B300))=0</formula>
    </cfRule>
    <cfRule type="duplicateValues" dxfId="206" priority="43"/>
  </conditionalFormatting>
  <conditionalFormatting sqref="A7:A18">
    <cfRule type="duplicateValues" dxfId="205" priority="33"/>
  </conditionalFormatting>
  <conditionalFormatting sqref="C7:C18">
    <cfRule type="expression" dxfId="204" priority="15">
      <formula>IF($C7&gt;$E7,TRUE)</formula>
    </cfRule>
  </conditionalFormatting>
  <conditionalFormatting sqref="E7:E18">
    <cfRule type="expression" dxfId="203" priority="16">
      <formula>IF($C7&lt;$E7,TRUE)</formula>
    </cfRule>
  </conditionalFormatting>
  <conditionalFormatting sqref="K7:K18">
    <cfRule type="expression" dxfId="202" priority="23">
      <formula>IF($K7&gt;$M7,TRUE)</formula>
    </cfRule>
  </conditionalFormatting>
  <conditionalFormatting sqref="M7:M18">
    <cfRule type="expression" dxfId="201" priority="24">
      <formula>IF($K7&lt;$M7,TRUE)</formula>
    </cfRule>
  </conditionalFormatting>
  <conditionalFormatting sqref="O7:O18">
    <cfRule type="expression" dxfId="200" priority="27">
      <formula>IF($O7&gt;$Q7,TRUE)</formula>
    </cfRule>
  </conditionalFormatting>
  <conditionalFormatting sqref="Q7:Q18">
    <cfRule type="expression" dxfId="199" priority="28">
      <formula>IF($O7&lt;$Q7,TRUE)</formula>
    </cfRule>
  </conditionalFormatting>
  <conditionalFormatting sqref="S7:S18">
    <cfRule type="expression" dxfId="198" priority="31">
      <formula>IF($S7&gt;$U7,TRUE)</formula>
    </cfRule>
  </conditionalFormatting>
  <conditionalFormatting sqref="U7:U18">
    <cfRule type="expression" dxfId="197" priority="32">
      <formula>IF($S7&lt;$U7,TRUE)</formula>
    </cfRule>
  </conditionalFormatting>
  <conditionalFormatting sqref="G7:G18">
    <cfRule type="expression" dxfId="196" priority="19">
      <formula>IF($G7&gt;$I7,TRUE)</formula>
    </cfRule>
  </conditionalFormatting>
  <conditionalFormatting sqref="I7:I18">
    <cfRule type="expression" dxfId="195" priority="20">
      <formula>IF($G7&lt;$I7,TRUE)</formula>
    </cfRule>
  </conditionalFormatting>
  <conditionalFormatting sqref="F7:F18">
    <cfRule type="containsText" dxfId="194" priority="6" operator="containsText" text="vaba voor">
      <formula>NOT(ISERROR(SEARCH("vaba voor",F7)))</formula>
    </cfRule>
  </conditionalFormatting>
  <conditionalFormatting sqref="N7:N18">
    <cfRule type="containsText" dxfId="193" priority="4" operator="containsText" text="vaba voor">
      <formula>NOT(ISERROR(SEARCH("vaba voor",N7)))</formula>
    </cfRule>
  </conditionalFormatting>
  <conditionalFormatting sqref="R7:R18">
    <cfRule type="containsText" dxfId="192" priority="7" operator="containsText" text="vaba voor">
      <formula>NOT(ISERROR(SEARCH("vaba voor",R7)))</formula>
    </cfRule>
  </conditionalFormatting>
  <conditionalFormatting sqref="V7:V18">
    <cfRule type="containsText" dxfId="191" priority="3" operator="containsText" text="vaba voor">
      <formula>NOT(ISERROR(SEARCH("vaba voor",V7)))</formula>
    </cfRule>
  </conditionalFormatting>
  <conditionalFormatting sqref="J7:J18">
    <cfRule type="containsText" dxfId="190" priority="5" operator="containsText" text="vaba voor">
      <formula>NOT(ISERROR(SEARCH("vaba voor",J7)))</formula>
    </cfRule>
  </conditionalFormatting>
  <conditionalFormatting sqref="C7:F18">
    <cfRule type="expression" dxfId="189" priority="11">
      <formula>IF(AND(ISNUMBER($C7),$C7=$E7),TRUE)</formula>
    </cfRule>
    <cfRule type="expression" dxfId="188" priority="13">
      <formula>IF($C7&gt;$E7,TRUE)</formula>
    </cfRule>
    <cfRule type="expression" dxfId="187" priority="14">
      <formula>IF($C7&lt;$E7,TRUE)</formula>
    </cfRule>
  </conditionalFormatting>
  <conditionalFormatting sqref="G7:J18">
    <cfRule type="expression" dxfId="186" priority="12">
      <formula>IF(AND(ISNUMBER($G7),$G7=$I7),TRUE)</formula>
    </cfRule>
    <cfRule type="expression" dxfId="185" priority="17">
      <formula>IF($G7&gt;$I7,TRUE)</formula>
    </cfRule>
    <cfRule type="expression" dxfId="184" priority="18">
      <formula>IF($G7&lt;$I7,TRUE)</formula>
    </cfRule>
  </conditionalFormatting>
  <conditionalFormatting sqref="K7:N18">
    <cfRule type="expression" dxfId="183" priority="10">
      <formula>IF(AND(ISNUMBER($K7),$K7=$M7),TRUE)</formula>
    </cfRule>
    <cfRule type="expression" dxfId="182" priority="21">
      <formula>IF($K7&gt;$M7,TRUE)</formula>
    </cfRule>
    <cfRule type="expression" dxfId="181" priority="22">
      <formula>IF($K7&lt;$M7,TRUE)</formula>
    </cfRule>
  </conditionalFormatting>
  <conditionalFormatting sqref="O7:R18">
    <cfRule type="expression" dxfId="180" priority="9">
      <formula>IF(AND(ISNUMBER($O7),$O7=$Q7),TRUE)</formula>
    </cfRule>
    <cfRule type="expression" dxfId="179" priority="25">
      <formula>IF($O7&gt;$Q7,TRUE)</formula>
    </cfRule>
    <cfRule type="expression" dxfId="178" priority="26">
      <formula>IF($O7&lt;$Q7,TRUE)</formula>
    </cfRule>
  </conditionalFormatting>
  <conditionalFormatting sqref="S7:V18">
    <cfRule type="expression" dxfId="177" priority="8">
      <formula>IF(AND(ISNUMBER($S7),$S7=$U7),TRUE)</formula>
    </cfRule>
    <cfRule type="expression" dxfId="176" priority="29">
      <formula>IF($S7&gt;$U7,TRUE)</formula>
    </cfRule>
    <cfRule type="expression" dxfId="175" priority="30">
      <formula>IF($S7&lt;$U7,TRUE)</formula>
    </cfRule>
  </conditionalFormatting>
  <conditionalFormatting sqref="C7:C18 G7:G18 K7:K18 O7:O18 S7:S18">
    <cfRule type="expression" dxfId="174" priority="1">
      <formula>AND(C7=0,E7=13)</formula>
    </cfRule>
  </conditionalFormatting>
  <conditionalFormatting sqref="E7:E18 I7:I18 M7:M18 Q7:Q18 U7:U18">
    <cfRule type="expression" dxfId="173" priority="2">
      <formula>AND(E7=0,C7=13)</formula>
    </cfRule>
  </conditionalFormatting>
  <pageMargins left="0.39370078740157483" right="0.39370078740157483" top="0.78740157480314965" bottom="0.39370078740157483" header="0.78740157480314965" footer="0"/>
  <pageSetup paperSize="9" fitToHeight="0" orientation="landscape" verticalDpi="1200" r:id="rId1"/>
  <headerFooter>
    <oddHeader>&amp;R&amp;P. leht &amp;N&amp; -st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AF319"/>
  <sheetViews>
    <sheetView showGridLines="0" workbookViewId="0">
      <pane ySplit="1" topLeftCell="A2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1" width="3.28515625" style="377" customWidth="1"/>
    <col min="2" max="2" width="16.5703125" style="377" bestFit="1" customWidth="1"/>
    <col min="3" max="3" width="4.7109375" style="377" customWidth="1"/>
    <col min="4" max="4" width="1.140625" style="377" customWidth="1"/>
    <col min="5" max="5" width="2.7109375" style="377" customWidth="1"/>
    <col min="6" max="6" width="9.140625" style="377"/>
    <col min="7" max="7" width="2.7109375" style="377" customWidth="1"/>
    <col min="8" max="8" width="1.140625" style="377" customWidth="1"/>
    <col min="9" max="9" width="2.7109375" style="377" customWidth="1"/>
    <col min="10" max="10" width="9.140625" style="377"/>
    <col min="11" max="11" width="2.7109375" style="377" customWidth="1"/>
    <col min="12" max="12" width="1.140625" style="377" customWidth="1"/>
    <col min="13" max="13" width="2.7109375" style="377" customWidth="1"/>
    <col min="14" max="14" width="9.140625" style="377"/>
    <col min="15" max="15" width="2.7109375" style="377" customWidth="1"/>
    <col min="16" max="16" width="1.140625" style="377" customWidth="1"/>
    <col min="17" max="17" width="2.7109375" style="377" customWidth="1"/>
    <col min="18" max="18" width="9.140625" style="377"/>
    <col min="19" max="19" width="2.7109375" style="377" customWidth="1"/>
    <col min="20" max="20" width="1.140625" style="377" customWidth="1"/>
    <col min="21" max="21" width="2.7109375" style="377" customWidth="1"/>
    <col min="22" max="22" width="9.140625" style="377" customWidth="1"/>
    <col min="23" max="23" width="5.7109375" style="377" customWidth="1"/>
    <col min="24" max="24" width="5.5703125" style="377" customWidth="1"/>
    <col min="25" max="25" width="7.42578125" style="377" customWidth="1"/>
    <col min="26" max="26" width="2.7109375" style="377" customWidth="1"/>
    <col min="27" max="27" width="1.140625" style="377" customWidth="1"/>
    <col min="28" max="28" width="2.7109375" style="377" customWidth="1"/>
    <col min="29" max="29" width="4.7109375" style="377" customWidth="1"/>
    <col min="30" max="30" width="9.140625" style="377" hidden="1" customWidth="1"/>
    <col min="31" max="31" width="16.5703125" style="377" hidden="1" customWidth="1"/>
    <col min="32" max="32" width="7.85546875" style="377" hidden="1" customWidth="1"/>
    <col min="33" max="16384" width="9.140625" style="377"/>
  </cols>
  <sheetData>
    <row r="1" spans="1:32" x14ac:dyDescent="0.2">
      <c r="A1" s="376" t="str">
        <f>UPPER((Kalend!E12)&amp;" - "&amp;(Kalend!C12))&amp;" - "&amp;LOWER(Kalend!D12)&amp;" - "&amp;(Kalend!A12)&amp;" kell "&amp;(Kalend!B12)&amp;" - "&amp;(Kalend!F12)</f>
        <v>M - 2. MAIDU KARIKAS. TŠAKA HOPP! - üksik - L, 10.06.2023 kell 10:00 - K-Järve spordihoone</v>
      </c>
      <c r="O1" s="378"/>
      <c r="P1" s="378"/>
      <c r="Q1" s="379"/>
      <c r="R1" s="379"/>
      <c r="S1" s="379"/>
      <c r="T1" s="380"/>
      <c r="U1" s="380"/>
      <c r="V1" s="380"/>
      <c r="W1" s="378"/>
      <c r="X1" s="381"/>
      <c r="Y1" s="378"/>
      <c r="Z1" s="378"/>
      <c r="AD1" s="382" t="s">
        <v>133</v>
      </c>
      <c r="AE1" s="383"/>
      <c r="AF1" s="383"/>
    </row>
    <row r="2" spans="1:32" x14ac:dyDescent="0.2">
      <c r="A2" s="385"/>
      <c r="F2" s="378"/>
      <c r="L2" s="386"/>
      <c r="M2" s="386"/>
      <c r="N2" s="386"/>
      <c r="O2" s="378"/>
      <c r="P2" s="378"/>
      <c r="Q2" s="378"/>
      <c r="S2" s="378"/>
      <c r="T2" s="386"/>
      <c r="U2" s="386"/>
      <c r="V2" s="387" t="s">
        <v>292</v>
      </c>
      <c r="W2" s="388">
        <v>1</v>
      </c>
      <c r="X2" s="389" t="s">
        <v>293</v>
      </c>
      <c r="Y2" s="378"/>
      <c r="Z2" s="378"/>
      <c r="AA2" s="378"/>
      <c r="AB2" s="378"/>
      <c r="AE2" s="378"/>
    </row>
    <row r="3" spans="1:32" x14ac:dyDescent="0.2">
      <c r="A3" s="385"/>
      <c r="F3" s="378"/>
      <c r="L3" s="378"/>
      <c r="M3" s="378"/>
      <c r="N3" s="378"/>
      <c r="O3" s="378"/>
      <c r="P3" s="378"/>
      <c r="Q3" s="378"/>
      <c r="S3" s="378"/>
      <c r="T3" s="378"/>
      <c r="U3" s="378"/>
      <c r="V3" s="390" t="s">
        <v>294</v>
      </c>
      <c r="W3" s="388">
        <v>0.5</v>
      </c>
      <c r="X3" s="389" t="s">
        <v>293</v>
      </c>
      <c r="Y3" s="378"/>
      <c r="Z3" s="378"/>
      <c r="AA3" s="378"/>
      <c r="AB3" s="378"/>
      <c r="AD3" s="432" t="s">
        <v>297</v>
      </c>
      <c r="AE3" s="429"/>
      <c r="AF3" s="433"/>
    </row>
    <row r="4" spans="1:32" x14ac:dyDescent="0.2">
      <c r="F4" s="378"/>
      <c r="L4" s="378"/>
      <c r="M4" s="378"/>
      <c r="N4" s="378"/>
      <c r="O4" s="378"/>
      <c r="P4" s="378"/>
      <c r="Q4" s="378"/>
      <c r="S4" s="378"/>
      <c r="T4" s="378"/>
      <c r="U4" s="378"/>
      <c r="V4" s="392" t="s">
        <v>295</v>
      </c>
      <c r="W4" s="388">
        <v>0</v>
      </c>
      <c r="X4" s="389" t="s">
        <v>293</v>
      </c>
      <c r="Y4" s="378"/>
      <c r="Z4" s="378"/>
      <c r="AA4" s="378"/>
      <c r="AB4" s="378"/>
      <c r="AD4" s="434" t="s">
        <v>414</v>
      </c>
      <c r="AE4" s="435" t="s">
        <v>156</v>
      </c>
      <c r="AF4" s="436"/>
    </row>
    <row r="5" spans="1:32" x14ac:dyDescent="0.2">
      <c r="F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W5" s="378"/>
      <c r="X5" s="378"/>
      <c r="Y5" s="378"/>
      <c r="Z5" s="378"/>
      <c r="AA5" s="378"/>
      <c r="AB5" s="393" t="s">
        <v>296</v>
      </c>
      <c r="AD5" s="434" t="s">
        <v>415</v>
      </c>
      <c r="AE5" s="429"/>
      <c r="AF5" s="435"/>
    </row>
    <row r="6" spans="1:32" x14ac:dyDescent="0.2">
      <c r="A6" s="395" t="s">
        <v>157</v>
      </c>
      <c r="B6" s="395" t="s">
        <v>156</v>
      </c>
      <c r="C6" s="396" t="s">
        <v>298</v>
      </c>
      <c r="D6" s="397"/>
      <c r="E6" s="397"/>
      <c r="F6" s="398"/>
      <c r="G6" s="396" t="s">
        <v>299</v>
      </c>
      <c r="H6" s="397"/>
      <c r="I6" s="397"/>
      <c r="J6" s="398"/>
      <c r="K6" s="396" t="s">
        <v>300</v>
      </c>
      <c r="L6" s="397"/>
      <c r="M6" s="397"/>
      <c r="N6" s="398"/>
      <c r="O6" s="396" t="s">
        <v>301</v>
      </c>
      <c r="P6" s="397"/>
      <c r="Q6" s="397"/>
      <c r="R6" s="398"/>
      <c r="S6" s="396" t="s">
        <v>302</v>
      </c>
      <c r="T6" s="397"/>
      <c r="U6" s="397"/>
      <c r="V6" s="398"/>
      <c r="W6" s="395" t="s">
        <v>142</v>
      </c>
      <c r="X6" s="399" t="s">
        <v>303</v>
      </c>
      <c r="Y6" s="395" t="s">
        <v>304</v>
      </c>
      <c r="Z6" s="399"/>
      <c r="AA6" s="400" t="s">
        <v>305</v>
      </c>
      <c r="AB6" s="401"/>
      <c r="AC6" s="402" t="s">
        <v>306</v>
      </c>
      <c r="AD6" s="437"/>
      <c r="AE6" s="436"/>
      <c r="AF6" s="436"/>
    </row>
    <row r="7" spans="1:32" x14ac:dyDescent="0.2">
      <c r="A7" s="408">
        <v>1</v>
      </c>
      <c r="B7" s="409" t="s">
        <v>191</v>
      </c>
      <c r="C7" s="410">
        <v>13</v>
      </c>
      <c r="D7" s="411" t="s">
        <v>313</v>
      </c>
      <c r="E7" s="411">
        <v>6</v>
      </c>
      <c r="F7" s="412" t="s">
        <v>409</v>
      </c>
      <c r="G7" s="410">
        <v>13</v>
      </c>
      <c r="H7" s="411" t="s">
        <v>313</v>
      </c>
      <c r="I7" s="411">
        <v>1</v>
      </c>
      <c r="J7" s="412" t="s">
        <v>221</v>
      </c>
      <c r="K7" s="410">
        <v>13</v>
      </c>
      <c r="L7" s="411" t="s">
        <v>313</v>
      </c>
      <c r="M7" s="411">
        <v>7</v>
      </c>
      <c r="N7" s="412" t="s">
        <v>407</v>
      </c>
      <c r="O7" s="410">
        <v>13</v>
      </c>
      <c r="P7" s="411" t="s">
        <v>313</v>
      </c>
      <c r="Q7" s="411">
        <v>10</v>
      </c>
      <c r="R7" s="412" t="s">
        <v>235</v>
      </c>
      <c r="S7" s="410">
        <v>13</v>
      </c>
      <c r="T7" s="411" t="s">
        <v>313</v>
      </c>
      <c r="U7" s="411">
        <v>1</v>
      </c>
      <c r="V7" s="412" t="s">
        <v>410</v>
      </c>
      <c r="W7" s="413">
        <f t="shared" ref="W7:W19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5</v>
      </c>
      <c r="X7" s="414">
        <v>30</v>
      </c>
      <c r="Y7" s="414">
        <v>156</v>
      </c>
      <c r="Z7" s="410">
        <f t="shared" ref="Z7:Z19" si="1">C7+G7+K7+O7+S7</f>
        <v>65</v>
      </c>
      <c r="AA7" s="411" t="s">
        <v>313</v>
      </c>
      <c r="AB7" s="415">
        <f t="shared" ref="AB7:AB19" si="2">E7+I7+M7+Q7+U7</f>
        <v>25</v>
      </c>
      <c r="AC7" s="416">
        <f t="shared" ref="AC7:AC19" si="3">Z7-AB7</f>
        <v>40</v>
      </c>
      <c r="AD7" s="438">
        <f t="shared" ref="AD7:AD15" si="4">SUM(AF7:AF7)</f>
        <v>154</v>
      </c>
      <c r="AE7" s="439" t="str">
        <f>$B7</f>
        <v>Vadim Tihhonjuk</v>
      </c>
      <c r="AF7" s="440">
        <f>IFERROR(INDEX(V!$R:$R,MATCH(AE7,V!$L:$L,0)),"")</f>
        <v>154</v>
      </c>
    </row>
    <row r="8" spans="1:32" x14ac:dyDescent="0.2">
      <c r="A8" s="408">
        <v>2</v>
      </c>
      <c r="B8" s="420" t="s">
        <v>235</v>
      </c>
      <c r="C8" s="410">
        <v>13</v>
      </c>
      <c r="D8" s="411" t="s">
        <v>313</v>
      </c>
      <c r="E8" s="411">
        <v>5</v>
      </c>
      <c r="F8" s="412" t="s">
        <v>410</v>
      </c>
      <c r="G8" s="410">
        <v>13</v>
      </c>
      <c r="H8" s="411" t="s">
        <v>313</v>
      </c>
      <c r="I8" s="411">
        <v>7</v>
      </c>
      <c r="J8" s="412" t="s">
        <v>174</v>
      </c>
      <c r="K8" s="410">
        <v>13</v>
      </c>
      <c r="L8" s="411" t="s">
        <v>313</v>
      </c>
      <c r="M8" s="411">
        <v>3</v>
      </c>
      <c r="N8" s="412" t="s">
        <v>411</v>
      </c>
      <c r="O8" s="410">
        <v>10</v>
      </c>
      <c r="P8" s="411" t="s">
        <v>313</v>
      </c>
      <c r="Q8" s="411">
        <v>13</v>
      </c>
      <c r="R8" s="412" t="s">
        <v>191</v>
      </c>
      <c r="S8" s="410">
        <v>13</v>
      </c>
      <c r="T8" s="411" t="s">
        <v>313</v>
      </c>
      <c r="U8" s="411">
        <v>5</v>
      </c>
      <c r="V8" s="412" t="s">
        <v>407</v>
      </c>
      <c r="W8" s="413">
        <f t="shared" si="0"/>
        <v>4</v>
      </c>
      <c r="X8" s="414">
        <v>30</v>
      </c>
      <c r="Y8" s="414">
        <v>156</v>
      </c>
      <c r="Z8" s="410">
        <f t="shared" si="1"/>
        <v>62</v>
      </c>
      <c r="AA8" s="411" t="s">
        <v>313</v>
      </c>
      <c r="AB8" s="415">
        <f t="shared" si="2"/>
        <v>33</v>
      </c>
      <c r="AC8" s="416">
        <f t="shared" si="3"/>
        <v>29</v>
      </c>
      <c r="AD8" s="438">
        <f t="shared" si="4"/>
        <v>82</v>
      </c>
      <c r="AE8" s="439" t="str">
        <f t="shared" ref="AE8:AE26" si="5">$B8</f>
        <v>Matti Vinni</v>
      </c>
      <c r="AF8" s="440">
        <f>IFERROR(INDEX(V!$R:$R,MATCH(AE8,V!$L:$L,0)),"")</f>
        <v>82</v>
      </c>
    </row>
    <row r="9" spans="1:32" x14ac:dyDescent="0.2">
      <c r="A9" s="408">
        <v>3</v>
      </c>
      <c r="B9" s="421" t="s">
        <v>412</v>
      </c>
      <c r="C9" s="410">
        <v>2</v>
      </c>
      <c r="D9" s="411" t="s">
        <v>313</v>
      </c>
      <c r="E9" s="411">
        <v>13</v>
      </c>
      <c r="F9" s="412" t="s">
        <v>411</v>
      </c>
      <c r="G9" s="410">
        <v>13</v>
      </c>
      <c r="H9" s="411" t="s">
        <v>313</v>
      </c>
      <c r="I9" s="411">
        <v>4</v>
      </c>
      <c r="J9" s="412" t="s">
        <v>195</v>
      </c>
      <c r="K9" s="410">
        <v>13</v>
      </c>
      <c r="L9" s="411" t="s">
        <v>313</v>
      </c>
      <c r="M9" s="411">
        <v>4</v>
      </c>
      <c r="N9" s="412" t="s">
        <v>174</v>
      </c>
      <c r="O9" s="410">
        <v>13</v>
      </c>
      <c r="P9" s="411" t="s">
        <v>313</v>
      </c>
      <c r="Q9" s="411">
        <v>3</v>
      </c>
      <c r="R9" s="412" t="s">
        <v>221</v>
      </c>
      <c r="S9" s="410">
        <v>13</v>
      </c>
      <c r="T9" s="411" t="s">
        <v>313</v>
      </c>
      <c r="U9" s="411">
        <v>9</v>
      </c>
      <c r="V9" s="412" t="s">
        <v>181</v>
      </c>
      <c r="W9" s="413">
        <f t="shared" si="0"/>
        <v>4</v>
      </c>
      <c r="X9" s="414">
        <v>22</v>
      </c>
      <c r="Y9" s="414">
        <v>140</v>
      </c>
      <c r="Z9" s="410">
        <f t="shared" si="1"/>
        <v>54</v>
      </c>
      <c r="AA9" s="411" t="s">
        <v>313</v>
      </c>
      <c r="AB9" s="415">
        <f t="shared" si="2"/>
        <v>33</v>
      </c>
      <c r="AC9" s="416">
        <f t="shared" si="3"/>
        <v>21</v>
      </c>
      <c r="AD9" s="438">
        <f t="shared" si="4"/>
        <v>0</v>
      </c>
      <c r="AE9" s="439" t="str">
        <f t="shared" si="5"/>
        <v>Enn Lehtpuu</v>
      </c>
      <c r="AF9" s="440" t="str">
        <f>IFERROR(INDEX(V!$R:$R,MATCH(AE9,V!$L:$L,0)),"")</f>
        <v/>
      </c>
    </row>
    <row r="10" spans="1:32" x14ac:dyDescent="0.2">
      <c r="A10" s="408">
        <v>4</v>
      </c>
      <c r="B10" s="421" t="s">
        <v>207</v>
      </c>
      <c r="C10" s="410">
        <v>10</v>
      </c>
      <c r="D10" s="411" t="s">
        <v>313</v>
      </c>
      <c r="E10" s="411">
        <v>11</v>
      </c>
      <c r="F10" s="412" t="s">
        <v>407</v>
      </c>
      <c r="G10" s="410">
        <v>12</v>
      </c>
      <c r="H10" s="411" t="s">
        <v>313</v>
      </c>
      <c r="I10" s="411">
        <v>8</v>
      </c>
      <c r="J10" s="412" t="s">
        <v>246</v>
      </c>
      <c r="K10" s="410">
        <v>13</v>
      </c>
      <c r="L10" s="411" t="s">
        <v>313</v>
      </c>
      <c r="M10" s="411">
        <v>9</v>
      </c>
      <c r="N10" s="412" t="s">
        <v>413</v>
      </c>
      <c r="O10" s="410">
        <v>13</v>
      </c>
      <c r="P10" s="411" t="s">
        <v>313</v>
      </c>
      <c r="Q10" s="411">
        <v>4</v>
      </c>
      <c r="R10" s="412" t="s">
        <v>182</v>
      </c>
      <c r="S10" s="410">
        <v>13</v>
      </c>
      <c r="T10" s="411" t="s">
        <v>313</v>
      </c>
      <c r="U10" s="411">
        <v>9</v>
      </c>
      <c r="V10" s="412" t="s">
        <v>411</v>
      </c>
      <c r="W10" s="413">
        <f t="shared" si="0"/>
        <v>4</v>
      </c>
      <c r="X10" s="414">
        <v>20</v>
      </c>
      <c r="Y10" s="414">
        <v>134</v>
      </c>
      <c r="Z10" s="410">
        <f t="shared" si="1"/>
        <v>61</v>
      </c>
      <c r="AA10" s="411" t="s">
        <v>313</v>
      </c>
      <c r="AB10" s="415">
        <f t="shared" si="2"/>
        <v>41</v>
      </c>
      <c r="AC10" s="416">
        <f t="shared" si="3"/>
        <v>20</v>
      </c>
      <c r="AD10" s="438">
        <f t="shared" si="4"/>
        <v>12</v>
      </c>
      <c r="AE10" s="439" t="str">
        <f t="shared" si="5"/>
        <v>Aarne Välja</v>
      </c>
      <c r="AF10" s="440">
        <f>IFERROR(INDEX(V!$R:$R,MATCH(AE10,V!$L:$L,0)),"")</f>
        <v>12</v>
      </c>
    </row>
    <row r="11" spans="1:32" x14ac:dyDescent="0.2">
      <c r="A11" s="408">
        <v>5</v>
      </c>
      <c r="B11" s="420" t="s">
        <v>407</v>
      </c>
      <c r="C11" s="410">
        <v>11</v>
      </c>
      <c r="D11" s="411" t="s">
        <v>313</v>
      </c>
      <c r="E11" s="411">
        <v>10</v>
      </c>
      <c r="F11" s="412" t="s">
        <v>207</v>
      </c>
      <c r="G11" s="410">
        <v>13</v>
      </c>
      <c r="H11" s="411" t="s">
        <v>313</v>
      </c>
      <c r="I11" s="411">
        <v>12</v>
      </c>
      <c r="J11" s="412" t="s">
        <v>192</v>
      </c>
      <c r="K11" s="410">
        <v>7</v>
      </c>
      <c r="L11" s="411" t="s">
        <v>313</v>
      </c>
      <c r="M11" s="411">
        <v>13</v>
      </c>
      <c r="N11" s="412" t="s">
        <v>191</v>
      </c>
      <c r="O11" s="410">
        <v>13</v>
      </c>
      <c r="P11" s="411" t="s">
        <v>313</v>
      </c>
      <c r="Q11" s="411">
        <v>9</v>
      </c>
      <c r="R11" s="412" t="s">
        <v>181</v>
      </c>
      <c r="S11" s="410">
        <v>5</v>
      </c>
      <c r="T11" s="411" t="s">
        <v>313</v>
      </c>
      <c r="U11" s="411">
        <v>13</v>
      </c>
      <c r="V11" s="412" t="s">
        <v>235</v>
      </c>
      <c r="W11" s="413">
        <f t="shared" si="0"/>
        <v>3</v>
      </c>
      <c r="X11" s="414">
        <v>36</v>
      </c>
      <c r="Y11" s="414">
        <v>128</v>
      </c>
      <c r="Z11" s="410">
        <f t="shared" si="1"/>
        <v>49</v>
      </c>
      <c r="AA11" s="411" t="s">
        <v>313</v>
      </c>
      <c r="AB11" s="415">
        <f t="shared" si="2"/>
        <v>57</v>
      </c>
      <c r="AC11" s="416">
        <f t="shared" si="3"/>
        <v>-8</v>
      </c>
      <c r="AD11" s="438">
        <f t="shared" si="4"/>
        <v>108</v>
      </c>
      <c r="AE11" s="439" t="str">
        <f t="shared" si="5"/>
        <v>Marko Rooden</v>
      </c>
      <c r="AF11" s="440">
        <f>IFERROR(INDEX(V!$R:$R,MATCH(AE11,V!$L:$L,0)),"")</f>
        <v>108</v>
      </c>
    </row>
    <row r="12" spans="1:32" x14ac:dyDescent="0.2">
      <c r="A12" s="408">
        <v>6</v>
      </c>
      <c r="B12" s="421" t="s">
        <v>221</v>
      </c>
      <c r="C12" s="410">
        <v>13</v>
      </c>
      <c r="D12" s="411" t="s">
        <v>313</v>
      </c>
      <c r="E12" s="411">
        <v>8</v>
      </c>
      <c r="F12" s="412" t="s">
        <v>243</v>
      </c>
      <c r="G12" s="410">
        <v>1</v>
      </c>
      <c r="H12" s="411" t="s">
        <v>313</v>
      </c>
      <c r="I12" s="411">
        <v>13</v>
      </c>
      <c r="J12" s="412" t="s">
        <v>191</v>
      </c>
      <c r="K12" s="410">
        <v>13</v>
      </c>
      <c r="L12" s="411" t="s">
        <v>313</v>
      </c>
      <c r="M12" s="411">
        <v>10</v>
      </c>
      <c r="N12" s="412" t="s">
        <v>166</v>
      </c>
      <c r="O12" s="410">
        <v>3</v>
      </c>
      <c r="P12" s="411" t="s">
        <v>313</v>
      </c>
      <c r="Q12" s="411">
        <v>13</v>
      </c>
      <c r="R12" s="412" t="s">
        <v>412</v>
      </c>
      <c r="S12" s="410">
        <v>13</v>
      </c>
      <c r="T12" s="411" t="s">
        <v>313</v>
      </c>
      <c r="U12" s="411">
        <v>10</v>
      </c>
      <c r="V12" s="412" t="s">
        <v>174</v>
      </c>
      <c r="W12" s="413">
        <f t="shared" si="0"/>
        <v>3</v>
      </c>
      <c r="X12" s="414">
        <v>32</v>
      </c>
      <c r="Y12" s="414">
        <v>120</v>
      </c>
      <c r="Z12" s="410">
        <f t="shared" si="1"/>
        <v>43</v>
      </c>
      <c r="AA12" s="411" t="s">
        <v>313</v>
      </c>
      <c r="AB12" s="415">
        <f t="shared" si="2"/>
        <v>54</v>
      </c>
      <c r="AC12" s="416">
        <f t="shared" si="3"/>
        <v>-11</v>
      </c>
      <c r="AD12" s="438">
        <f t="shared" si="4"/>
        <v>32</v>
      </c>
      <c r="AE12" s="439" t="str">
        <f t="shared" si="5"/>
        <v>Jaan Sepp</v>
      </c>
      <c r="AF12" s="440">
        <f>IFERROR(INDEX(V!$R:$R,MATCH(AE12,V!$L:$L,0)),"")</f>
        <v>32</v>
      </c>
    </row>
    <row r="13" spans="1:32" x14ac:dyDescent="0.2">
      <c r="A13" s="408">
        <v>7</v>
      </c>
      <c r="B13" s="422" t="s">
        <v>410</v>
      </c>
      <c r="C13" s="410">
        <v>5</v>
      </c>
      <c r="D13" s="411" t="s">
        <v>313</v>
      </c>
      <c r="E13" s="411">
        <v>13</v>
      </c>
      <c r="F13" s="412" t="s">
        <v>235</v>
      </c>
      <c r="G13" s="410">
        <v>11</v>
      </c>
      <c r="H13" s="411" t="s">
        <v>313</v>
      </c>
      <c r="I13" s="411">
        <v>10</v>
      </c>
      <c r="J13" s="412" t="s">
        <v>180</v>
      </c>
      <c r="K13" s="410">
        <v>13</v>
      </c>
      <c r="L13" s="411" t="s">
        <v>313</v>
      </c>
      <c r="M13" s="411">
        <v>7</v>
      </c>
      <c r="N13" s="412" t="s">
        <v>409</v>
      </c>
      <c r="O13" s="410">
        <v>13</v>
      </c>
      <c r="P13" s="411" t="s">
        <v>313</v>
      </c>
      <c r="Q13" s="411">
        <v>6</v>
      </c>
      <c r="R13" s="412" t="s">
        <v>411</v>
      </c>
      <c r="S13" s="410">
        <v>1</v>
      </c>
      <c r="T13" s="411" t="s">
        <v>313</v>
      </c>
      <c r="U13" s="411">
        <v>13</v>
      </c>
      <c r="V13" s="412" t="s">
        <v>191</v>
      </c>
      <c r="W13" s="413">
        <f t="shared" si="0"/>
        <v>3</v>
      </c>
      <c r="X13" s="414">
        <v>28</v>
      </c>
      <c r="Y13" s="414">
        <v>142</v>
      </c>
      <c r="Z13" s="410">
        <f t="shared" si="1"/>
        <v>43</v>
      </c>
      <c r="AA13" s="411" t="s">
        <v>313</v>
      </c>
      <c r="AB13" s="415">
        <f t="shared" si="2"/>
        <v>49</v>
      </c>
      <c r="AC13" s="416">
        <f t="shared" si="3"/>
        <v>-6</v>
      </c>
      <c r="AD13" s="438">
        <f t="shared" si="4"/>
        <v>0</v>
      </c>
      <c r="AE13" s="439" t="str">
        <f t="shared" si="5"/>
        <v>Anneli Suits</v>
      </c>
      <c r="AF13" s="440" t="str">
        <f>IFERROR(INDEX(V!$R:$R,MATCH(AE13,V!$L:$L,0)),"")</f>
        <v/>
      </c>
    </row>
    <row r="14" spans="1:32" x14ac:dyDescent="0.2">
      <c r="A14" s="408">
        <v>8</v>
      </c>
      <c r="B14" s="422" t="s">
        <v>181</v>
      </c>
      <c r="C14" s="410">
        <v>13</v>
      </c>
      <c r="D14" s="411" t="s">
        <v>313</v>
      </c>
      <c r="E14" s="411">
        <v>9</v>
      </c>
      <c r="F14" s="412" t="s">
        <v>194</v>
      </c>
      <c r="G14" s="410">
        <v>13</v>
      </c>
      <c r="H14" s="411" t="s">
        <v>313</v>
      </c>
      <c r="I14" s="411">
        <v>5</v>
      </c>
      <c r="J14" s="412" t="s">
        <v>166</v>
      </c>
      <c r="K14" s="410">
        <v>13</v>
      </c>
      <c r="L14" s="411" t="s">
        <v>313</v>
      </c>
      <c r="M14" s="411">
        <v>9</v>
      </c>
      <c r="N14" s="412" t="s">
        <v>192</v>
      </c>
      <c r="O14" s="410">
        <v>9</v>
      </c>
      <c r="P14" s="411" t="s">
        <v>313</v>
      </c>
      <c r="Q14" s="411">
        <v>13</v>
      </c>
      <c r="R14" s="412" t="s">
        <v>407</v>
      </c>
      <c r="S14" s="410">
        <v>9</v>
      </c>
      <c r="T14" s="411" t="s">
        <v>313</v>
      </c>
      <c r="U14" s="411">
        <v>13</v>
      </c>
      <c r="V14" s="412" t="s">
        <v>412</v>
      </c>
      <c r="W14" s="413">
        <f t="shared" si="0"/>
        <v>3</v>
      </c>
      <c r="X14" s="414">
        <v>26</v>
      </c>
      <c r="Y14" s="414">
        <v>122</v>
      </c>
      <c r="Z14" s="410">
        <f t="shared" si="1"/>
        <v>57</v>
      </c>
      <c r="AA14" s="411" t="s">
        <v>313</v>
      </c>
      <c r="AB14" s="415">
        <f t="shared" si="2"/>
        <v>49</v>
      </c>
      <c r="AC14" s="416">
        <f t="shared" si="3"/>
        <v>8</v>
      </c>
      <c r="AD14" s="438">
        <f t="shared" si="4"/>
        <v>142</v>
      </c>
      <c r="AE14" s="439" t="str">
        <f t="shared" si="5"/>
        <v>Olav Türk</v>
      </c>
      <c r="AF14" s="440">
        <f>IFERROR(INDEX(V!$R:$R,MATCH(AE14,V!$L:$L,0)),"")</f>
        <v>142</v>
      </c>
    </row>
    <row r="15" spans="1:32" x14ac:dyDescent="0.2">
      <c r="A15" s="408">
        <v>9</v>
      </c>
      <c r="B15" s="421" t="s">
        <v>166</v>
      </c>
      <c r="C15" s="410">
        <v>13</v>
      </c>
      <c r="D15" s="411" t="s">
        <v>313</v>
      </c>
      <c r="E15" s="411">
        <v>10</v>
      </c>
      <c r="F15" s="412" t="s">
        <v>246</v>
      </c>
      <c r="G15" s="410">
        <v>5</v>
      </c>
      <c r="H15" s="411" t="s">
        <v>313</v>
      </c>
      <c r="I15" s="411">
        <v>13</v>
      </c>
      <c r="J15" s="412" t="s">
        <v>181</v>
      </c>
      <c r="K15" s="410">
        <v>10</v>
      </c>
      <c r="L15" s="411" t="s">
        <v>313</v>
      </c>
      <c r="M15" s="411">
        <v>13</v>
      </c>
      <c r="N15" s="412" t="s">
        <v>221</v>
      </c>
      <c r="O15" s="410">
        <v>13</v>
      </c>
      <c r="P15" s="411" t="s">
        <v>313</v>
      </c>
      <c r="Q15" s="411">
        <v>7</v>
      </c>
      <c r="R15" s="412" t="s">
        <v>409</v>
      </c>
      <c r="S15" s="410">
        <v>13</v>
      </c>
      <c r="T15" s="411" t="s">
        <v>313</v>
      </c>
      <c r="U15" s="411">
        <v>7</v>
      </c>
      <c r="V15" s="412" t="s">
        <v>413</v>
      </c>
      <c r="W15" s="413">
        <f t="shared" si="0"/>
        <v>3</v>
      </c>
      <c r="X15" s="414">
        <v>22</v>
      </c>
      <c r="Y15" s="414">
        <v>130</v>
      </c>
      <c r="Z15" s="410">
        <f t="shared" si="1"/>
        <v>54</v>
      </c>
      <c r="AA15" s="411" t="s">
        <v>313</v>
      </c>
      <c r="AB15" s="415">
        <f t="shared" si="2"/>
        <v>50</v>
      </c>
      <c r="AC15" s="416">
        <f t="shared" si="3"/>
        <v>4</v>
      </c>
      <c r="AD15" s="438">
        <f t="shared" si="4"/>
        <v>234</v>
      </c>
      <c r="AE15" s="439" t="str">
        <f t="shared" si="5"/>
        <v>Kenneth Muusikus</v>
      </c>
      <c r="AF15" s="440">
        <f>IFERROR(INDEX(V!$R:$R,MATCH(AE15,V!$L:$L,0)),"")</f>
        <v>234</v>
      </c>
    </row>
    <row r="16" spans="1:32" x14ac:dyDescent="0.2">
      <c r="A16" s="408">
        <v>10</v>
      </c>
      <c r="B16" s="422" t="s">
        <v>411</v>
      </c>
      <c r="C16" s="410">
        <v>13</v>
      </c>
      <c r="D16" s="411" t="s">
        <v>313</v>
      </c>
      <c r="E16" s="411">
        <v>2</v>
      </c>
      <c r="F16" s="412" t="s">
        <v>412</v>
      </c>
      <c r="G16" s="410">
        <v>13</v>
      </c>
      <c r="H16" s="411" t="s">
        <v>313</v>
      </c>
      <c r="I16" s="411">
        <v>7</v>
      </c>
      <c r="J16" s="412" t="s">
        <v>413</v>
      </c>
      <c r="K16" s="410">
        <v>3</v>
      </c>
      <c r="L16" s="411" t="s">
        <v>313</v>
      </c>
      <c r="M16" s="411">
        <v>13</v>
      </c>
      <c r="N16" s="412" t="s">
        <v>235</v>
      </c>
      <c r="O16" s="410">
        <v>6</v>
      </c>
      <c r="P16" s="411" t="s">
        <v>313</v>
      </c>
      <c r="Q16" s="411">
        <v>13</v>
      </c>
      <c r="R16" s="412" t="s">
        <v>410</v>
      </c>
      <c r="S16" s="410">
        <v>9</v>
      </c>
      <c r="T16" s="411" t="s">
        <v>313</v>
      </c>
      <c r="U16" s="411">
        <v>13</v>
      </c>
      <c r="V16" s="412" t="s">
        <v>207</v>
      </c>
      <c r="W16" s="413">
        <f t="shared" si="0"/>
        <v>2</v>
      </c>
      <c r="X16" s="414">
        <v>34</v>
      </c>
      <c r="Y16" s="414">
        <v>122</v>
      </c>
      <c r="Z16" s="410">
        <f t="shared" si="1"/>
        <v>44</v>
      </c>
      <c r="AA16" s="411" t="s">
        <v>313</v>
      </c>
      <c r="AB16" s="415">
        <f t="shared" si="2"/>
        <v>48</v>
      </c>
      <c r="AC16" s="416">
        <f t="shared" si="3"/>
        <v>-4</v>
      </c>
      <c r="AD16" s="438">
        <f t="shared" ref="AD16:AD26" si="6">SUM(AF16:AF16)</f>
        <v>0</v>
      </c>
      <c r="AE16" s="439" t="str">
        <f t="shared" si="5"/>
        <v>Rein Rothberg</v>
      </c>
      <c r="AF16" s="440" t="str">
        <f>IFERROR(INDEX(V!$R:$R,MATCH(AE16,V!$L:$L,0)),"")</f>
        <v/>
      </c>
    </row>
    <row r="17" spans="1:32" x14ac:dyDescent="0.2">
      <c r="A17" s="408">
        <v>11</v>
      </c>
      <c r="B17" s="421" t="s">
        <v>416</v>
      </c>
      <c r="C17" s="410">
        <v>6</v>
      </c>
      <c r="D17" s="411" t="s">
        <v>313</v>
      </c>
      <c r="E17" s="411">
        <v>13</v>
      </c>
      <c r="F17" s="412" t="s">
        <v>191</v>
      </c>
      <c r="G17" s="410">
        <v>13</v>
      </c>
      <c r="H17" s="411" t="s">
        <v>313</v>
      </c>
      <c r="I17" s="411">
        <v>12</v>
      </c>
      <c r="J17" s="412" t="s">
        <v>243</v>
      </c>
      <c r="K17" s="410">
        <v>7</v>
      </c>
      <c r="L17" s="411" t="s">
        <v>313</v>
      </c>
      <c r="M17" s="411">
        <v>13</v>
      </c>
      <c r="N17" s="412" t="s">
        <v>410</v>
      </c>
      <c r="O17" s="410">
        <v>7</v>
      </c>
      <c r="P17" s="411" t="s">
        <v>313</v>
      </c>
      <c r="Q17" s="411">
        <v>13</v>
      </c>
      <c r="R17" s="412" t="s">
        <v>166</v>
      </c>
      <c r="S17" s="410">
        <v>13</v>
      </c>
      <c r="T17" s="411" t="s">
        <v>313</v>
      </c>
      <c r="U17" s="411">
        <v>10</v>
      </c>
      <c r="V17" s="412" t="s">
        <v>182</v>
      </c>
      <c r="W17" s="413">
        <f t="shared" si="0"/>
        <v>2</v>
      </c>
      <c r="X17" s="414">
        <v>30</v>
      </c>
      <c r="Y17" s="414">
        <v>120</v>
      </c>
      <c r="Z17" s="410">
        <f t="shared" si="1"/>
        <v>46</v>
      </c>
      <c r="AA17" s="411" t="s">
        <v>313</v>
      </c>
      <c r="AB17" s="415">
        <f t="shared" si="2"/>
        <v>61</v>
      </c>
      <c r="AC17" s="416">
        <f t="shared" si="3"/>
        <v>-15</v>
      </c>
      <c r="AD17" s="438">
        <f t="shared" si="6"/>
        <v>82</v>
      </c>
      <c r="AE17" s="439" t="str">
        <f t="shared" si="5"/>
        <v>Martin Kuusmann</v>
      </c>
      <c r="AF17" s="440">
        <f>IFERROR(INDEX(V!$R:$R,MATCH(AE17,V!$L:$L,0)),"")</f>
        <v>82</v>
      </c>
    </row>
    <row r="18" spans="1:32" x14ac:dyDescent="0.2">
      <c r="A18" s="408">
        <v>12</v>
      </c>
      <c r="B18" s="422" t="s">
        <v>174</v>
      </c>
      <c r="C18" s="410">
        <v>13</v>
      </c>
      <c r="D18" s="411" t="s">
        <v>313</v>
      </c>
      <c r="E18" s="411">
        <v>5</v>
      </c>
      <c r="F18" s="412" t="s">
        <v>180</v>
      </c>
      <c r="G18" s="410">
        <v>7</v>
      </c>
      <c r="H18" s="411" t="s">
        <v>313</v>
      </c>
      <c r="I18" s="411">
        <v>13</v>
      </c>
      <c r="J18" s="412" t="s">
        <v>235</v>
      </c>
      <c r="K18" s="410">
        <v>4</v>
      </c>
      <c r="L18" s="411" t="s">
        <v>313</v>
      </c>
      <c r="M18" s="411">
        <v>13</v>
      </c>
      <c r="N18" s="412" t="s">
        <v>412</v>
      </c>
      <c r="O18" s="410">
        <v>13</v>
      </c>
      <c r="P18" s="411" t="s">
        <v>313</v>
      </c>
      <c r="Q18" s="411">
        <v>12</v>
      </c>
      <c r="R18" s="412" t="s">
        <v>192</v>
      </c>
      <c r="S18" s="410">
        <v>10</v>
      </c>
      <c r="T18" s="411" t="s">
        <v>313</v>
      </c>
      <c r="U18" s="411">
        <v>13</v>
      </c>
      <c r="V18" s="412" t="s">
        <v>221</v>
      </c>
      <c r="W18" s="413">
        <f t="shared" si="0"/>
        <v>2</v>
      </c>
      <c r="X18" s="414">
        <v>28</v>
      </c>
      <c r="Y18" s="414">
        <v>124</v>
      </c>
      <c r="Z18" s="410">
        <f t="shared" si="1"/>
        <v>47</v>
      </c>
      <c r="AA18" s="411" t="s">
        <v>313</v>
      </c>
      <c r="AB18" s="415">
        <f t="shared" si="2"/>
        <v>56</v>
      </c>
      <c r="AC18" s="416">
        <f t="shared" si="3"/>
        <v>-9</v>
      </c>
      <c r="AD18" s="438">
        <f t="shared" si="6"/>
        <v>130</v>
      </c>
      <c r="AE18" s="439" t="str">
        <f t="shared" si="5"/>
        <v>Kaspar Mänd</v>
      </c>
      <c r="AF18" s="440">
        <f>IFERROR(INDEX(V!$R:$R,MATCH(AE18,V!$L:$L,0)),"")</f>
        <v>130</v>
      </c>
    </row>
    <row r="19" spans="1:32" x14ac:dyDescent="0.2">
      <c r="A19" s="408">
        <v>13</v>
      </c>
      <c r="B19" s="421" t="s">
        <v>192</v>
      </c>
      <c r="C19" s="410">
        <v>13</v>
      </c>
      <c r="D19" s="411" t="s">
        <v>313</v>
      </c>
      <c r="E19" s="411">
        <v>10</v>
      </c>
      <c r="F19" s="412" t="s">
        <v>182</v>
      </c>
      <c r="G19" s="410">
        <v>12</v>
      </c>
      <c r="H19" s="411" t="s">
        <v>313</v>
      </c>
      <c r="I19" s="411">
        <v>13</v>
      </c>
      <c r="J19" s="412" t="s">
        <v>407</v>
      </c>
      <c r="K19" s="410">
        <v>9</v>
      </c>
      <c r="L19" s="411" t="s">
        <v>313</v>
      </c>
      <c r="M19" s="411">
        <v>13</v>
      </c>
      <c r="N19" s="412" t="s">
        <v>181</v>
      </c>
      <c r="O19" s="410">
        <v>12</v>
      </c>
      <c r="P19" s="411" t="s">
        <v>313</v>
      </c>
      <c r="Q19" s="411">
        <v>13</v>
      </c>
      <c r="R19" s="412" t="s">
        <v>174</v>
      </c>
      <c r="S19" s="410">
        <v>13</v>
      </c>
      <c r="T19" s="411" t="s">
        <v>313</v>
      </c>
      <c r="U19" s="411">
        <v>1</v>
      </c>
      <c r="V19" s="412" t="s">
        <v>194</v>
      </c>
      <c r="W19" s="413">
        <f t="shared" si="0"/>
        <v>2</v>
      </c>
      <c r="X19" s="414">
        <v>22</v>
      </c>
      <c r="Y19" s="414">
        <v>132</v>
      </c>
      <c r="Z19" s="410">
        <f t="shared" si="1"/>
        <v>59</v>
      </c>
      <c r="AA19" s="411" t="s">
        <v>313</v>
      </c>
      <c r="AB19" s="415">
        <f t="shared" si="2"/>
        <v>50</v>
      </c>
      <c r="AC19" s="416">
        <f t="shared" si="3"/>
        <v>9</v>
      </c>
      <c r="AD19" s="438">
        <f t="shared" si="6"/>
        <v>22</v>
      </c>
      <c r="AE19" s="439" t="str">
        <f t="shared" si="5"/>
        <v>Lemmit Toomra</v>
      </c>
      <c r="AF19" s="440">
        <f>IFERROR(INDEX(V!$R:$R,MATCH(AE19,V!$L:$L,0)),"")</f>
        <v>22</v>
      </c>
    </row>
    <row r="20" spans="1:32" x14ac:dyDescent="0.2">
      <c r="A20" s="408">
        <v>14</v>
      </c>
      <c r="B20" s="422" t="s">
        <v>413</v>
      </c>
      <c r="C20" s="410">
        <v>13</v>
      </c>
      <c r="D20" s="411" t="s">
        <v>313</v>
      </c>
      <c r="E20" s="411">
        <v>4</v>
      </c>
      <c r="F20" s="412" t="s">
        <v>195</v>
      </c>
      <c r="G20" s="410">
        <v>7</v>
      </c>
      <c r="H20" s="411" t="s">
        <v>313</v>
      </c>
      <c r="I20" s="411">
        <v>13</v>
      </c>
      <c r="J20" s="412" t="s">
        <v>411</v>
      </c>
      <c r="K20" s="410">
        <v>9</v>
      </c>
      <c r="L20" s="411" t="s">
        <v>313</v>
      </c>
      <c r="M20" s="411">
        <v>13</v>
      </c>
      <c r="N20" s="412" t="s">
        <v>207</v>
      </c>
      <c r="O20" s="410">
        <v>13</v>
      </c>
      <c r="P20" s="411" t="s">
        <v>313</v>
      </c>
      <c r="Q20" s="411">
        <v>12</v>
      </c>
      <c r="R20" s="412" t="s">
        <v>194</v>
      </c>
      <c r="S20" s="410">
        <v>7</v>
      </c>
      <c r="T20" s="411" t="s">
        <v>313</v>
      </c>
      <c r="U20" s="411">
        <v>13</v>
      </c>
      <c r="V20" s="412" t="s">
        <v>166</v>
      </c>
      <c r="W20" s="413">
        <f t="shared" ref="W20:W26" si="7">IF(C20&gt;E20,W$2,IF(C20&lt;E20,W$4,IF(ISNUMBER(C20),W$3,0)))+IF(G20&gt;I20,W$2,IF(G20&lt;I20,W$4,IF(ISNUMBER(G20),W$3,0)))+IF(K20&gt;M20,W$2,IF(K20&lt;M20,W$4,IF(ISNUMBER(K20),W$3,0)))+IF(O20&gt;Q20,W$2,IF(O20&lt;Q20,W$4,IF(ISNUMBER(O20),W$3,0)))+IF(S20&gt;U20,W$2,IF(S20&lt;U20,W$4,IF(ISNUMBER(S20),W$3,0)))</f>
        <v>2</v>
      </c>
      <c r="X20" s="414">
        <v>22</v>
      </c>
      <c r="Y20" s="414">
        <v>116</v>
      </c>
      <c r="Z20" s="410">
        <f t="shared" ref="Z20:Z26" si="8">C20+G20+K20+O20+S20</f>
        <v>49</v>
      </c>
      <c r="AA20" s="411" t="s">
        <v>313</v>
      </c>
      <c r="AB20" s="415">
        <f t="shared" ref="AB20:AB26" si="9">E20+I20+M20+Q20+U20</f>
        <v>55</v>
      </c>
      <c r="AC20" s="416">
        <f t="shared" ref="AC20:AC26" si="10">Z20-AB20</f>
        <v>-6</v>
      </c>
      <c r="AD20" s="438">
        <f t="shared" si="6"/>
        <v>0</v>
      </c>
      <c r="AE20" s="439" t="str">
        <f t="shared" si="5"/>
        <v>Taimo Lepp</v>
      </c>
      <c r="AF20" s="440" t="str">
        <f>IFERROR(INDEX(V!$R:$R,MATCH(AE20,V!$L:$L,0)),"")</f>
        <v/>
      </c>
    </row>
    <row r="21" spans="1:32" x14ac:dyDescent="0.2">
      <c r="A21" s="408">
        <v>15</v>
      </c>
      <c r="B21" s="421" t="s">
        <v>182</v>
      </c>
      <c r="C21" s="410">
        <v>10</v>
      </c>
      <c r="D21" s="411" t="s">
        <v>313</v>
      </c>
      <c r="E21" s="411">
        <v>13</v>
      </c>
      <c r="F21" s="412" t="s">
        <v>192</v>
      </c>
      <c r="G21" s="410">
        <v>13</v>
      </c>
      <c r="H21" s="411" t="s">
        <v>313</v>
      </c>
      <c r="I21" s="411">
        <v>12</v>
      </c>
      <c r="J21" s="412" t="s">
        <v>194</v>
      </c>
      <c r="K21" s="410">
        <v>13</v>
      </c>
      <c r="L21" s="411" t="s">
        <v>313</v>
      </c>
      <c r="M21" s="411">
        <v>12</v>
      </c>
      <c r="N21" s="412" t="s">
        <v>243</v>
      </c>
      <c r="O21" s="410">
        <v>4</v>
      </c>
      <c r="P21" s="411" t="s">
        <v>313</v>
      </c>
      <c r="Q21" s="411">
        <v>13</v>
      </c>
      <c r="R21" s="412" t="s">
        <v>207</v>
      </c>
      <c r="S21" s="410">
        <v>10</v>
      </c>
      <c r="T21" s="411" t="s">
        <v>313</v>
      </c>
      <c r="U21" s="411">
        <v>13</v>
      </c>
      <c r="V21" s="412" t="s">
        <v>409</v>
      </c>
      <c r="W21" s="413">
        <f t="shared" si="7"/>
        <v>2</v>
      </c>
      <c r="X21" s="414">
        <v>22</v>
      </c>
      <c r="Y21" s="414">
        <v>110</v>
      </c>
      <c r="Z21" s="410">
        <f t="shared" si="8"/>
        <v>50</v>
      </c>
      <c r="AA21" s="411" t="s">
        <v>313</v>
      </c>
      <c r="AB21" s="415">
        <f t="shared" si="9"/>
        <v>63</v>
      </c>
      <c r="AC21" s="416">
        <f t="shared" si="10"/>
        <v>-13</v>
      </c>
      <c r="AD21" s="438">
        <f t="shared" si="6"/>
        <v>38</v>
      </c>
      <c r="AE21" s="439" t="str">
        <f t="shared" si="5"/>
        <v>Tõnu Kapper</v>
      </c>
      <c r="AF21" s="440">
        <f>IFERROR(INDEX(V!$R:$R,MATCH(AE21,V!$L:$L,0)),"")</f>
        <v>38</v>
      </c>
    </row>
    <row r="22" spans="1:32" x14ac:dyDescent="0.2">
      <c r="A22" s="408">
        <v>16</v>
      </c>
      <c r="B22" s="422" t="s">
        <v>243</v>
      </c>
      <c r="C22" s="410">
        <v>8</v>
      </c>
      <c r="D22" s="411" t="s">
        <v>313</v>
      </c>
      <c r="E22" s="411">
        <v>13</v>
      </c>
      <c r="F22" s="412" t="s">
        <v>221</v>
      </c>
      <c r="G22" s="410">
        <v>12</v>
      </c>
      <c r="H22" s="411" t="s">
        <v>313</v>
      </c>
      <c r="I22" s="411">
        <v>13</v>
      </c>
      <c r="J22" s="412" t="s">
        <v>409</v>
      </c>
      <c r="K22" s="410">
        <v>12</v>
      </c>
      <c r="L22" s="411" t="s">
        <v>313</v>
      </c>
      <c r="M22" s="411">
        <v>13</v>
      </c>
      <c r="N22" s="412" t="s">
        <v>182</v>
      </c>
      <c r="O22" s="410">
        <v>13</v>
      </c>
      <c r="P22" s="411" t="s">
        <v>313</v>
      </c>
      <c r="Q22" s="411">
        <v>7</v>
      </c>
      <c r="R22" s="412" t="s">
        <v>180</v>
      </c>
      <c r="S22" s="410">
        <v>13</v>
      </c>
      <c r="T22" s="411" t="s">
        <v>313</v>
      </c>
      <c r="U22" s="411">
        <v>12</v>
      </c>
      <c r="V22" s="412" t="s">
        <v>195</v>
      </c>
      <c r="W22" s="413">
        <f t="shared" si="7"/>
        <v>2</v>
      </c>
      <c r="X22" s="414">
        <v>18</v>
      </c>
      <c r="Y22" s="414">
        <v>122</v>
      </c>
      <c r="Z22" s="410">
        <f t="shared" si="8"/>
        <v>58</v>
      </c>
      <c r="AA22" s="411" t="s">
        <v>313</v>
      </c>
      <c r="AB22" s="415">
        <f t="shared" si="9"/>
        <v>58</v>
      </c>
      <c r="AC22" s="416">
        <f t="shared" si="10"/>
        <v>0</v>
      </c>
      <c r="AD22" s="438">
        <f t="shared" si="6"/>
        <v>0</v>
      </c>
      <c r="AE22" s="439" t="str">
        <f t="shared" si="5"/>
        <v>Rutt Voldek</v>
      </c>
      <c r="AF22" s="440">
        <f>IFERROR(INDEX(V!$R:$R,MATCH(AE22,V!$L:$L,0)),"")</f>
        <v>0</v>
      </c>
    </row>
    <row r="23" spans="1:32" x14ac:dyDescent="0.2">
      <c r="A23" s="408">
        <v>17</v>
      </c>
      <c r="B23" s="421" t="s">
        <v>194</v>
      </c>
      <c r="C23" s="410">
        <v>9</v>
      </c>
      <c r="D23" s="411" t="s">
        <v>313</v>
      </c>
      <c r="E23" s="411">
        <v>13</v>
      </c>
      <c r="F23" s="412" t="s">
        <v>181</v>
      </c>
      <c r="G23" s="410">
        <v>12</v>
      </c>
      <c r="H23" s="411" t="s">
        <v>313</v>
      </c>
      <c r="I23" s="411">
        <v>13</v>
      </c>
      <c r="J23" s="412" t="s">
        <v>182</v>
      </c>
      <c r="K23" s="410">
        <v>13</v>
      </c>
      <c r="L23" s="411" t="s">
        <v>313</v>
      </c>
      <c r="M23" s="411">
        <v>11</v>
      </c>
      <c r="N23" s="412" t="s">
        <v>246</v>
      </c>
      <c r="O23" s="410">
        <v>12</v>
      </c>
      <c r="P23" s="411" t="s">
        <v>313</v>
      </c>
      <c r="Q23" s="411">
        <v>13</v>
      </c>
      <c r="R23" s="412" t="s">
        <v>413</v>
      </c>
      <c r="S23" s="410">
        <v>1</v>
      </c>
      <c r="T23" s="411" t="s">
        <v>313</v>
      </c>
      <c r="U23" s="411">
        <v>13</v>
      </c>
      <c r="V23" s="412" t="s">
        <v>192</v>
      </c>
      <c r="W23" s="413">
        <f t="shared" si="7"/>
        <v>1</v>
      </c>
      <c r="X23" s="414">
        <v>20</v>
      </c>
      <c r="Y23" s="414">
        <v>112</v>
      </c>
      <c r="Z23" s="410">
        <f t="shared" si="8"/>
        <v>47</v>
      </c>
      <c r="AA23" s="411" t="s">
        <v>313</v>
      </c>
      <c r="AB23" s="415">
        <f t="shared" si="9"/>
        <v>63</v>
      </c>
      <c r="AC23" s="416">
        <f t="shared" si="10"/>
        <v>-16</v>
      </c>
      <c r="AD23" s="438">
        <f t="shared" si="6"/>
        <v>62</v>
      </c>
      <c r="AE23" s="439" t="str">
        <f t="shared" si="5"/>
        <v>Boriss Klubov</v>
      </c>
      <c r="AF23" s="440">
        <f>IFERROR(INDEX(V!$R:$R,MATCH(AE23,V!$L:$L,0)),"")</f>
        <v>62</v>
      </c>
    </row>
    <row r="24" spans="1:32" x14ac:dyDescent="0.2">
      <c r="A24" s="408">
        <v>18</v>
      </c>
      <c r="B24" s="422" t="s">
        <v>246</v>
      </c>
      <c r="C24" s="410">
        <v>10</v>
      </c>
      <c r="D24" s="411" t="s">
        <v>313</v>
      </c>
      <c r="E24" s="411">
        <v>13</v>
      </c>
      <c r="F24" s="412" t="s">
        <v>166</v>
      </c>
      <c r="G24" s="410">
        <v>8</v>
      </c>
      <c r="H24" s="411" t="s">
        <v>313</v>
      </c>
      <c r="I24" s="411">
        <v>12</v>
      </c>
      <c r="J24" s="412" t="s">
        <v>207</v>
      </c>
      <c r="K24" s="410">
        <v>11</v>
      </c>
      <c r="L24" s="411" t="s">
        <v>313</v>
      </c>
      <c r="M24" s="411">
        <v>13</v>
      </c>
      <c r="N24" s="412" t="s">
        <v>194</v>
      </c>
      <c r="O24" s="410">
        <v>8</v>
      </c>
      <c r="P24" s="411" t="s">
        <v>313</v>
      </c>
      <c r="Q24" s="411">
        <v>13</v>
      </c>
      <c r="R24" s="412" t="s">
        <v>195</v>
      </c>
      <c r="S24" s="410">
        <v>11</v>
      </c>
      <c r="T24" s="411" t="s">
        <v>313</v>
      </c>
      <c r="U24" s="411">
        <v>10</v>
      </c>
      <c r="V24" s="412" t="s">
        <v>180</v>
      </c>
      <c r="W24" s="413">
        <f t="shared" si="7"/>
        <v>1</v>
      </c>
      <c r="X24" s="414">
        <v>20</v>
      </c>
      <c r="Y24" s="414">
        <v>100</v>
      </c>
      <c r="Z24" s="410">
        <f t="shared" si="8"/>
        <v>48</v>
      </c>
      <c r="AA24" s="411" t="s">
        <v>313</v>
      </c>
      <c r="AB24" s="415">
        <f t="shared" si="9"/>
        <v>61</v>
      </c>
      <c r="AC24" s="416">
        <f t="shared" si="10"/>
        <v>-13</v>
      </c>
      <c r="AD24" s="438">
        <f t="shared" si="6"/>
        <v>0</v>
      </c>
      <c r="AE24" s="439" t="str">
        <f t="shared" si="5"/>
        <v>Sirje Viljaste</v>
      </c>
      <c r="AF24" s="440">
        <f>IFERROR(INDEX(V!$R:$R,MATCH(AE24,V!$L:$L,0)),"")</f>
        <v>0</v>
      </c>
    </row>
    <row r="25" spans="1:32" x14ac:dyDescent="0.2">
      <c r="A25" s="408">
        <v>19</v>
      </c>
      <c r="B25" s="421" t="s">
        <v>195</v>
      </c>
      <c r="C25" s="410">
        <v>4</v>
      </c>
      <c r="D25" s="411" t="s">
        <v>313</v>
      </c>
      <c r="E25" s="411">
        <v>13</v>
      </c>
      <c r="F25" s="412" t="s">
        <v>413</v>
      </c>
      <c r="G25" s="410">
        <v>4</v>
      </c>
      <c r="H25" s="411" t="s">
        <v>313</v>
      </c>
      <c r="I25" s="411">
        <v>13</v>
      </c>
      <c r="J25" s="412" t="s">
        <v>412</v>
      </c>
      <c r="K25" s="410">
        <v>11</v>
      </c>
      <c r="L25" s="411" t="s">
        <v>313</v>
      </c>
      <c r="M25" s="411">
        <v>12</v>
      </c>
      <c r="N25" s="412" t="s">
        <v>180</v>
      </c>
      <c r="O25" s="410">
        <v>13</v>
      </c>
      <c r="P25" s="411" t="s">
        <v>313</v>
      </c>
      <c r="Q25" s="411">
        <v>8</v>
      </c>
      <c r="R25" s="412" t="s">
        <v>246</v>
      </c>
      <c r="S25" s="410">
        <v>12</v>
      </c>
      <c r="T25" s="411" t="s">
        <v>313</v>
      </c>
      <c r="U25" s="411">
        <v>13</v>
      </c>
      <c r="V25" s="412" t="s">
        <v>243</v>
      </c>
      <c r="W25" s="413">
        <f t="shared" si="7"/>
        <v>1</v>
      </c>
      <c r="X25" s="414">
        <v>20</v>
      </c>
      <c r="Y25" s="414">
        <v>100</v>
      </c>
      <c r="Z25" s="410">
        <f t="shared" si="8"/>
        <v>44</v>
      </c>
      <c r="AA25" s="411" t="s">
        <v>313</v>
      </c>
      <c r="AB25" s="415">
        <f t="shared" si="9"/>
        <v>59</v>
      </c>
      <c r="AC25" s="416">
        <f t="shared" si="10"/>
        <v>-15</v>
      </c>
      <c r="AD25" s="438">
        <f t="shared" si="6"/>
        <v>154</v>
      </c>
      <c r="AE25" s="439" t="str">
        <f t="shared" si="5"/>
        <v>Kristel Tihhonjuk</v>
      </c>
      <c r="AF25" s="440">
        <f>IFERROR(INDEX(V!$R:$R,MATCH(AE25,V!$L:$L,0)),"")</f>
        <v>154</v>
      </c>
    </row>
    <row r="26" spans="1:32" x14ac:dyDescent="0.2">
      <c r="A26" s="408">
        <v>20</v>
      </c>
      <c r="B26" s="422" t="s">
        <v>180</v>
      </c>
      <c r="C26" s="410">
        <v>5</v>
      </c>
      <c r="D26" s="411" t="s">
        <v>313</v>
      </c>
      <c r="E26" s="411">
        <v>13</v>
      </c>
      <c r="F26" s="412" t="s">
        <v>174</v>
      </c>
      <c r="G26" s="410">
        <v>10</v>
      </c>
      <c r="H26" s="411" t="s">
        <v>313</v>
      </c>
      <c r="I26" s="411">
        <v>11</v>
      </c>
      <c r="J26" s="412" t="s">
        <v>410</v>
      </c>
      <c r="K26" s="410">
        <v>12</v>
      </c>
      <c r="L26" s="411" t="s">
        <v>313</v>
      </c>
      <c r="M26" s="411">
        <v>11</v>
      </c>
      <c r="N26" s="412" t="s">
        <v>195</v>
      </c>
      <c r="O26" s="410">
        <v>7</v>
      </c>
      <c r="P26" s="411" t="s">
        <v>313</v>
      </c>
      <c r="Q26" s="411">
        <v>13</v>
      </c>
      <c r="R26" s="412" t="s">
        <v>243</v>
      </c>
      <c r="S26" s="410">
        <v>10</v>
      </c>
      <c r="T26" s="411" t="s">
        <v>313</v>
      </c>
      <c r="U26" s="411">
        <v>11</v>
      </c>
      <c r="V26" s="412" t="s">
        <v>246</v>
      </c>
      <c r="W26" s="413">
        <f t="shared" si="7"/>
        <v>1</v>
      </c>
      <c r="X26" s="414">
        <v>18</v>
      </c>
      <c r="Y26" s="414">
        <v>114</v>
      </c>
      <c r="Z26" s="410">
        <f t="shared" si="8"/>
        <v>44</v>
      </c>
      <c r="AA26" s="411" t="s">
        <v>313</v>
      </c>
      <c r="AB26" s="415">
        <f t="shared" si="9"/>
        <v>59</v>
      </c>
      <c r="AC26" s="416">
        <f t="shared" si="10"/>
        <v>-15</v>
      </c>
      <c r="AD26" s="438">
        <f t="shared" si="6"/>
        <v>54</v>
      </c>
      <c r="AE26" s="439" t="str">
        <f t="shared" si="5"/>
        <v>Sirje Maala</v>
      </c>
      <c r="AF26" s="440">
        <f>IFERROR(INDEX(V!$R:$R,MATCH(AE26,V!$L:$L,0)),"")</f>
        <v>54</v>
      </c>
    </row>
    <row r="28" spans="1:32" hidden="1" x14ac:dyDescent="0.2"/>
    <row r="29" spans="1:32" hidden="1" x14ac:dyDescent="0.2"/>
    <row r="30" spans="1:32" hidden="1" x14ac:dyDescent="0.2"/>
    <row r="31" spans="1:32" hidden="1" x14ac:dyDescent="0.2"/>
    <row r="32" spans="1:3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9" hidden="1" x14ac:dyDescent="0.2"/>
    <row r="290" spans="1:9" hidden="1" x14ac:dyDescent="0.2"/>
    <row r="291" spans="1:9" hidden="1" x14ac:dyDescent="0.2"/>
    <row r="292" spans="1:9" hidden="1" x14ac:dyDescent="0.2"/>
    <row r="293" spans="1:9" hidden="1" x14ac:dyDescent="0.2"/>
    <row r="294" spans="1:9" hidden="1" x14ac:dyDescent="0.2"/>
    <row r="295" spans="1:9" hidden="1" x14ac:dyDescent="0.2"/>
    <row r="296" spans="1:9" hidden="1" x14ac:dyDescent="0.2"/>
    <row r="297" spans="1:9" hidden="1" x14ac:dyDescent="0.2"/>
    <row r="298" spans="1:9" hidden="1" x14ac:dyDescent="0.2"/>
    <row r="299" spans="1:9" x14ac:dyDescent="0.2">
      <c r="A299" s="378"/>
      <c r="B299" s="378"/>
      <c r="C299" s="423"/>
      <c r="F299" s="424"/>
    </row>
    <row r="300" spans="1:9" x14ac:dyDescent="0.2">
      <c r="A300" s="425">
        <v>1</v>
      </c>
      <c r="B300" s="426" t="str">
        <f t="shared" ref="B300:B309" si="11">IFERROR(INDEX(B$1:B$95,MATCH(A300,A$1:A$95,0)),"")</f>
        <v>Vadim Tihhonjuk</v>
      </c>
      <c r="C300" s="427"/>
      <c r="E300" s="425">
        <v>11</v>
      </c>
      <c r="F300" s="441" t="str">
        <f t="shared" ref="F300:F309" si="12">IFERROR(INDEX(B$1:B$95,MATCH(E300,A$1:A$95,0)),"")</f>
        <v>Martin Kuusmann</v>
      </c>
      <c r="G300" s="442"/>
      <c r="H300" s="442"/>
      <c r="I300" s="443"/>
    </row>
    <row r="301" spans="1:9" x14ac:dyDescent="0.2">
      <c r="A301" s="425">
        <v>2</v>
      </c>
      <c r="B301" s="426" t="str">
        <f t="shared" si="11"/>
        <v>Matti Vinni</v>
      </c>
      <c r="C301" s="427"/>
      <c r="E301" s="425">
        <v>12</v>
      </c>
      <c r="F301" s="441" t="str">
        <f t="shared" si="12"/>
        <v>Kaspar Mänd</v>
      </c>
      <c r="G301" s="442"/>
      <c r="H301" s="442"/>
      <c r="I301" s="443"/>
    </row>
    <row r="302" spans="1:9" x14ac:dyDescent="0.2">
      <c r="A302" s="425">
        <v>3</v>
      </c>
      <c r="B302" s="426" t="str">
        <f t="shared" si="11"/>
        <v>Enn Lehtpuu</v>
      </c>
      <c r="C302" s="427"/>
      <c r="E302" s="425">
        <v>13</v>
      </c>
      <c r="F302" s="441" t="str">
        <f t="shared" si="12"/>
        <v>Lemmit Toomra</v>
      </c>
      <c r="G302" s="442"/>
      <c r="H302" s="442"/>
      <c r="I302" s="443"/>
    </row>
    <row r="303" spans="1:9" x14ac:dyDescent="0.2">
      <c r="A303" s="425">
        <v>4</v>
      </c>
      <c r="B303" s="426" t="str">
        <f t="shared" si="11"/>
        <v>Aarne Välja</v>
      </c>
      <c r="C303" s="427"/>
      <c r="E303" s="425">
        <v>14</v>
      </c>
      <c r="F303" s="441" t="str">
        <f t="shared" si="12"/>
        <v>Taimo Lepp</v>
      </c>
      <c r="G303" s="442"/>
      <c r="H303" s="442"/>
      <c r="I303" s="443"/>
    </row>
    <row r="304" spans="1:9" x14ac:dyDescent="0.2">
      <c r="A304" s="425">
        <v>5</v>
      </c>
      <c r="B304" s="426" t="str">
        <f t="shared" si="11"/>
        <v>Marko Rooden</v>
      </c>
      <c r="C304" s="427"/>
      <c r="E304" s="425">
        <v>15</v>
      </c>
      <c r="F304" s="441" t="str">
        <f t="shared" si="12"/>
        <v>Tõnu Kapper</v>
      </c>
      <c r="G304" s="442"/>
      <c r="H304" s="442"/>
      <c r="I304" s="443"/>
    </row>
    <row r="305" spans="1:9" x14ac:dyDescent="0.2">
      <c r="A305" s="425">
        <v>6</v>
      </c>
      <c r="B305" s="426" t="str">
        <f t="shared" si="11"/>
        <v>Jaan Sepp</v>
      </c>
      <c r="C305" s="427"/>
      <c r="E305" s="425">
        <v>16</v>
      </c>
      <c r="F305" s="441" t="str">
        <f t="shared" si="12"/>
        <v>Rutt Voldek</v>
      </c>
      <c r="G305" s="442"/>
      <c r="H305" s="442"/>
      <c r="I305" s="443"/>
    </row>
    <row r="306" spans="1:9" x14ac:dyDescent="0.2">
      <c r="A306" s="425">
        <v>7</v>
      </c>
      <c r="B306" s="426" t="str">
        <f t="shared" si="11"/>
        <v>Anneli Suits</v>
      </c>
      <c r="C306" s="427"/>
      <c r="E306" s="425">
        <v>17</v>
      </c>
      <c r="F306" s="441" t="str">
        <f t="shared" si="12"/>
        <v>Boriss Klubov</v>
      </c>
      <c r="G306" s="442"/>
      <c r="H306" s="442"/>
      <c r="I306" s="443"/>
    </row>
    <row r="307" spans="1:9" x14ac:dyDescent="0.2">
      <c r="A307" s="425">
        <v>8</v>
      </c>
      <c r="B307" s="426" t="str">
        <f t="shared" si="11"/>
        <v>Olav Türk</v>
      </c>
      <c r="C307" s="427"/>
      <c r="E307" s="425">
        <v>18</v>
      </c>
      <c r="F307" s="441" t="str">
        <f t="shared" si="12"/>
        <v>Sirje Viljaste</v>
      </c>
      <c r="G307" s="442"/>
      <c r="H307" s="442"/>
      <c r="I307" s="443"/>
    </row>
    <row r="308" spans="1:9" x14ac:dyDescent="0.2">
      <c r="A308" s="425">
        <v>9</v>
      </c>
      <c r="B308" s="426" t="str">
        <f t="shared" si="11"/>
        <v>Kenneth Muusikus</v>
      </c>
      <c r="C308" s="427"/>
      <c r="E308" s="425">
        <v>19</v>
      </c>
      <c r="F308" s="441" t="str">
        <f t="shared" si="12"/>
        <v>Kristel Tihhonjuk</v>
      </c>
      <c r="G308" s="442"/>
      <c r="H308" s="442"/>
      <c r="I308" s="443"/>
    </row>
    <row r="309" spans="1:9" x14ac:dyDescent="0.2">
      <c r="A309" s="425">
        <v>10</v>
      </c>
      <c r="B309" s="426" t="str">
        <f t="shared" si="11"/>
        <v>Rein Rothberg</v>
      </c>
      <c r="C309" s="427"/>
      <c r="E309" s="425">
        <v>20</v>
      </c>
      <c r="F309" s="441" t="str">
        <f t="shared" si="12"/>
        <v>Sirje Maala</v>
      </c>
      <c r="G309" s="442"/>
      <c r="H309" s="442"/>
      <c r="I309" s="443"/>
    </row>
    <row r="310" spans="1:9" x14ac:dyDescent="0.2">
      <c r="C310" s="427"/>
    </row>
    <row r="311" spans="1:9" x14ac:dyDescent="0.2">
      <c r="C311" s="427"/>
    </row>
    <row r="312" spans="1:9" x14ac:dyDescent="0.2">
      <c r="C312" s="427"/>
    </row>
    <row r="313" spans="1:9" x14ac:dyDescent="0.2">
      <c r="C313" s="427"/>
    </row>
    <row r="314" spans="1:9" x14ac:dyDescent="0.2">
      <c r="C314" s="427"/>
    </row>
    <row r="315" spans="1:9" x14ac:dyDescent="0.2">
      <c r="C315" s="427"/>
    </row>
    <row r="316" spans="1:9" x14ac:dyDescent="0.2">
      <c r="C316" s="427"/>
    </row>
    <row r="317" spans="1:9" x14ac:dyDescent="0.2">
      <c r="C317" s="427"/>
    </row>
    <row r="318" spans="1:9" x14ac:dyDescent="0.2">
      <c r="C318" s="427"/>
    </row>
    <row r="319" spans="1:9" x14ac:dyDescent="0.2">
      <c r="C319" s="427"/>
    </row>
  </sheetData>
  <conditionalFormatting sqref="B300:B309 F300:F309">
    <cfRule type="expression" dxfId="172" priority="40">
      <formula>A300=3</formula>
    </cfRule>
    <cfRule type="expression" dxfId="171" priority="41">
      <formula>A300=2</formula>
    </cfRule>
    <cfRule type="expression" dxfId="170" priority="42">
      <formula>A300=1</formula>
    </cfRule>
    <cfRule type="containsBlanks" dxfId="169" priority="43">
      <formula>LEN(TRIM(B300))=0</formula>
    </cfRule>
    <cfRule type="duplicateValues" dxfId="168" priority="44"/>
  </conditionalFormatting>
  <conditionalFormatting sqref="A7:A26">
    <cfRule type="duplicateValues" dxfId="167" priority="34"/>
  </conditionalFormatting>
  <conditionalFormatting sqref="C7:C26">
    <cfRule type="expression" dxfId="166" priority="16">
      <formula>IF($C7&gt;$E7,TRUE)</formula>
    </cfRule>
  </conditionalFormatting>
  <conditionalFormatting sqref="E7:E26">
    <cfRule type="expression" dxfId="165" priority="17">
      <formula>IF($C7&lt;$E7,TRUE)</formula>
    </cfRule>
  </conditionalFormatting>
  <conditionalFormatting sqref="K7:K26">
    <cfRule type="expression" dxfId="164" priority="24">
      <formula>IF($K7&gt;$M7,TRUE)</formula>
    </cfRule>
  </conditionalFormatting>
  <conditionalFormatting sqref="M7:M26">
    <cfRule type="expression" dxfId="163" priority="25">
      <formula>IF($K7&lt;$M7,TRUE)</formula>
    </cfRule>
  </conditionalFormatting>
  <conditionalFormatting sqref="O7:O26">
    <cfRule type="expression" dxfId="162" priority="28">
      <formula>IF($O7&gt;$Q7,TRUE)</formula>
    </cfRule>
  </conditionalFormatting>
  <conditionalFormatting sqref="Q7:Q26">
    <cfRule type="expression" dxfId="161" priority="29">
      <formula>IF($O7&lt;$Q7,TRUE)</formula>
    </cfRule>
  </conditionalFormatting>
  <conditionalFormatting sqref="S7:S26">
    <cfRule type="expression" dxfId="160" priority="32">
      <formula>IF($S7&gt;$U7,TRUE)</formula>
    </cfRule>
  </conditionalFormatting>
  <conditionalFormatting sqref="U7:U26">
    <cfRule type="expression" dxfId="159" priority="33">
      <formula>IF($S7&lt;$U7,TRUE)</formula>
    </cfRule>
  </conditionalFormatting>
  <conditionalFormatting sqref="G7:G26">
    <cfRule type="expression" dxfId="158" priority="20">
      <formula>IF($G7&gt;$I7,TRUE)</formula>
    </cfRule>
  </conditionalFormatting>
  <conditionalFormatting sqref="I7:I26">
    <cfRule type="expression" dxfId="157" priority="21">
      <formula>IF($G7&lt;$I7,TRUE)</formula>
    </cfRule>
  </conditionalFormatting>
  <conditionalFormatting sqref="F7:F26">
    <cfRule type="containsText" dxfId="156" priority="7" operator="containsText" text="vaba voor">
      <formula>NOT(ISERROR(SEARCH("vaba voor",F7)))</formula>
    </cfRule>
  </conditionalFormatting>
  <conditionalFormatting sqref="N7:N26">
    <cfRule type="containsText" dxfId="155" priority="5" operator="containsText" text="vaba voor">
      <formula>NOT(ISERROR(SEARCH("vaba voor",N7)))</formula>
    </cfRule>
  </conditionalFormatting>
  <conditionalFormatting sqref="R7:R26">
    <cfRule type="containsText" dxfId="154" priority="8" operator="containsText" text="vaba voor">
      <formula>NOT(ISERROR(SEARCH("vaba voor",R7)))</formula>
    </cfRule>
  </conditionalFormatting>
  <conditionalFormatting sqref="V7:V26">
    <cfRule type="containsText" dxfId="153" priority="4" operator="containsText" text="vaba voor">
      <formula>NOT(ISERROR(SEARCH("vaba voor",V7)))</formula>
    </cfRule>
  </conditionalFormatting>
  <conditionalFormatting sqref="J7:J26">
    <cfRule type="containsText" dxfId="152" priority="6" operator="containsText" text="vaba voor">
      <formula>NOT(ISERROR(SEARCH("vaba voor",J7)))</formula>
    </cfRule>
  </conditionalFormatting>
  <conditionalFormatting sqref="C7:F26">
    <cfRule type="expression" dxfId="151" priority="12">
      <formula>IF(AND(ISNUMBER($C7),$C7=$E7),TRUE)</formula>
    </cfRule>
    <cfRule type="expression" dxfId="150" priority="14">
      <formula>IF($C7&gt;$E7,TRUE)</formula>
    </cfRule>
    <cfRule type="expression" dxfId="149" priority="15">
      <formula>IF($C7&lt;$E7,TRUE)</formula>
    </cfRule>
  </conditionalFormatting>
  <conditionalFormatting sqref="G7:J26">
    <cfRule type="expression" dxfId="148" priority="13">
      <formula>IF(AND(ISNUMBER($G7),$G7=$I7),TRUE)</formula>
    </cfRule>
    <cfRule type="expression" dxfId="147" priority="18">
      <formula>IF($G7&gt;$I7,TRUE)</formula>
    </cfRule>
    <cfRule type="expression" dxfId="146" priority="19">
      <formula>IF($G7&lt;$I7,TRUE)</formula>
    </cfRule>
  </conditionalFormatting>
  <conditionalFormatting sqref="K7:N26">
    <cfRule type="expression" dxfId="145" priority="11">
      <formula>IF(AND(ISNUMBER($K7),$K7=$M7),TRUE)</formula>
    </cfRule>
    <cfRule type="expression" dxfId="144" priority="22">
      <formula>IF($K7&gt;$M7,TRUE)</formula>
    </cfRule>
    <cfRule type="expression" dxfId="143" priority="23">
      <formula>IF($K7&lt;$M7,TRUE)</formula>
    </cfRule>
  </conditionalFormatting>
  <conditionalFormatting sqref="O7:R26">
    <cfRule type="expression" dxfId="142" priority="10">
      <formula>IF(AND(ISNUMBER($O7),$O7=$Q7),TRUE)</formula>
    </cfRule>
    <cfRule type="expression" dxfId="141" priority="26">
      <formula>IF($O7&gt;$Q7,TRUE)</formula>
    </cfRule>
    <cfRule type="expression" dxfId="140" priority="27">
      <formula>IF($O7&lt;$Q7,TRUE)</formula>
    </cfRule>
  </conditionalFormatting>
  <conditionalFormatting sqref="S7:V26">
    <cfRule type="expression" dxfId="139" priority="9">
      <formula>IF(AND(ISNUMBER($S7),$S7=$U7),TRUE)</formula>
    </cfRule>
    <cfRule type="expression" dxfId="138" priority="30">
      <formula>IF($S7&gt;$U7,TRUE)</formula>
    </cfRule>
    <cfRule type="expression" dxfId="137" priority="31">
      <formula>IF($S7&lt;$U7,TRUE)</formula>
    </cfRule>
  </conditionalFormatting>
  <conditionalFormatting sqref="C7:C26 G7:G26 K7:K26 O7:O26 S7:S26">
    <cfRule type="expression" dxfId="136" priority="2">
      <formula>AND(C7=0,E7=13)</formula>
    </cfRule>
  </conditionalFormatting>
  <conditionalFormatting sqref="E7:E26 I7:I26 M7:M26 Q7:Q26 U7:U26">
    <cfRule type="expression" dxfId="135" priority="3">
      <formula>AND(E7=0,C7=13)</formula>
    </cfRule>
  </conditionalFormatting>
  <conditionalFormatting sqref="AE7:AE26">
    <cfRule type="expression" dxfId="134" priority="1">
      <formula>AND(AF7="",COUNTIF(AE7,"*,*")=0)</formula>
    </cfRule>
  </conditionalFormatting>
  <pageMargins left="0.39370078740157483" right="0.39370078740157483" top="0.78740157480314965" bottom="0.39370078740157483" header="0.78740157480314965" footer="0"/>
  <pageSetup paperSize="9" fitToHeight="0" orientation="landscape" verticalDpi="1200" r:id="rId1"/>
  <headerFooter>
    <oddHeader>&amp;R&amp;P. leht &amp;N&amp; -st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ECFF"/>
    <pageSetUpPr fitToPage="1"/>
  </sheetPr>
  <dimension ref="A1:AP313"/>
  <sheetViews>
    <sheetView showGridLines="0" showRowColHeaders="0" workbookViewId="0">
      <pane ySplit="1" topLeftCell="A2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1" width="3.28515625" style="377" customWidth="1"/>
    <col min="2" max="2" width="31.5703125" style="377" bestFit="1" customWidth="1"/>
    <col min="3" max="3" width="4.7109375" style="377" customWidth="1"/>
    <col min="4" max="4" width="1.140625" style="377" customWidth="1"/>
    <col min="5" max="5" width="2.7109375" style="377" customWidth="1"/>
    <col min="6" max="6" width="9.140625" style="377"/>
    <col min="7" max="7" width="2.7109375" style="377" customWidth="1"/>
    <col min="8" max="8" width="1.140625" style="377" customWidth="1"/>
    <col min="9" max="9" width="2.7109375" style="377" customWidth="1"/>
    <col min="10" max="10" width="9.140625" style="377"/>
    <col min="11" max="11" width="2.7109375" style="377" customWidth="1"/>
    <col min="12" max="12" width="1.140625" style="377" customWidth="1"/>
    <col min="13" max="13" width="2.7109375" style="377" customWidth="1"/>
    <col min="14" max="14" width="9.140625" style="377"/>
    <col min="15" max="15" width="2.7109375" style="377" customWidth="1"/>
    <col min="16" max="16" width="1.140625" style="377" customWidth="1"/>
    <col min="17" max="17" width="2.7109375" style="377" customWidth="1"/>
    <col min="18" max="18" width="9.140625" style="377"/>
    <col min="19" max="19" width="2.7109375" style="377" hidden="1" customWidth="1"/>
    <col min="20" max="20" width="1.140625" style="377" hidden="1" customWidth="1"/>
    <col min="21" max="21" width="2.7109375" style="377" hidden="1" customWidth="1"/>
    <col min="22" max="22" width="0" style="377" hidden="1" customWidth="1"/>
    <col min="23" max="23" width="5.7109375" style="377" customWidth="1"/>
    <col min="24" max="24" width="5.5703125" style="377" customWidth="1"/>
    <col min="25" max="25" width="7.42578125" style="377" customWidth="1"/>
    <col min="26" max="26" width="2.7109375" style="377" customWidth="1"/>
    <col min="27" max="27" width="1.140625" style="377" customWidth="1"/>
    <col min="28" max="28" width="2.7109375" style="377" customWidth="1"/>
    <col min="29" max="29" width="4.7109375" style="377" customWidth="1"/>
    <col min="30" max="31" width="9.140625" style="377" hidden="1" customWidth="1"/>
    <col min="32" max="32" width="17" style="377" hidden="1" customWidth="1"/>
    <col min="33" max="33" width="9.140625" style="377" hidden="1" customWidth="1"/>
    <col min="34" max="34" width="25.140625" style="377" hidden="1" customWidth="1"/>
    <col min="35" max="35" width="9.140625" style="377" hidden="1" customWidth="1"/>
    <col min="36" max="36" width="17.28515625" style="377" hidden="1" customWidth="1"/>
    <col min="37" max="37" width="9.140625" style="377" hidden="1" customWidth="1"/>
    <col min="38" max="38" width="13.85546875" style="377" hidden="1" customWidth="1"/>
    <col min="39" max="39" width="9.140625" style="377" hidden="1" customWidth="1"/>
    <col min="40" max="40" width="17.28515625" style="377" hidden="1" customWidth="1"/>
    <col min="41" max="41" width="9.140625" style="377" hidden="1" customWidth="1"/>
    <col min="42" max="42" width="13.85546875" style="377" hidden="1" customWidth="1"/>
    <col min="43" max="16384" width="9.140625" style="377"/>
  </cols>
  <sheetData>
    <row r="1" spans="1:42" x14ac:dyDescent="0.2">
      <c r="A1" s="376" t="str">
        <f>UPPER((Kalend!E13)&amp;" - "&amp;(Kalend!C13))&amp;" - "&amp;LOWER(Kalend!D13)&amp;" - "&amp;(Kalend!A13)&amp;" kell "&amp;(Kalend!B13)&amp;" - "&amp;(Kalend!F13)</f>
        <v>TMV-D - TOILA VALLA LAHTISED MV - duo - P, 11.06.2023 kell 10:00 - Voka staadion</v>
      </c>
      <c r="O1" s="378"/>
      <c r="P1" s="378"/>
      <c r="Q1" s="379"/>
      <c r="R1" s="379"/>
      <c r="S1" s="379"/>
      <c r="T1" s="380"/>
      <c r="U1" s="380"/>
      <c r="V1" s="380"/>
      <c r="W1" s="378"/>
      <c r="X1" s="381"/>
      <c r="Y1" s="378"/>
      <c r="Z1" s="378"/>
      <c r="AD1" s="382" t="s">
        <v>133</v>
      </c>
      <c r="AE1" s="383"/>
      <c r="AF1" s="383"/>
      <c r="AG1" s="383"/>
      <c r="AH1" s="383"/>
      <c r="AI1" s="383"/>
      <c r="AJ1" s="383"/>
      <c r="AK1" s="383"/>
      <c r="AL1" s="383"/>
      <c r="AM1" s="383"/>
      <c r="AN1" s="383"/>
      <c r="AO1" s="384"/>
      <c r="AP1" s="384"/>
    </row>
    <row r="2" spans="1:42" x14ac:dyDescent="0.2">
      <c r="A2" s="385"/>
      <c r="F2" s="378"/>
      <c r="L2" s="386"/>
      <c r="M2" s="386"/>
      <c r="N2" s="386"/>
      <c r="O2" s="378"/>
      <c r="P2" s="378"/>
      <c r="Q2" s="378"/>
      <c r="R2" s="387" t="s">
        <v>292</v>
      </c>
      <c r="S2" s="378"/>
      <c r="T2" s="386"/>
      <c r="U2" s="386"/>
      <c r="V2" s="386"/>
      <c r="W2" s="388">
        <v>1</v>
      </c>
      <c r="X2" s="389" t="s">
        <v>293</v>
      </c>
      <c r="Y2" s="378"/>
      <c r="Z2" s="378"/>
      <c r="AA2" s="378"/>
      <c r="AB2" s="378"/>
      <c r="AE2" s="378"/>
      <c r="AG2" s="378"/>
      <c r="AH2" s="378"/>
      <c r="AI2" s="378"/>
      <c r="AJ2" s="378"/>
      <c r="AK2" s="378"/>
      <c r="AL2" s="378"/>
      <c r="AM2" s="378"/>
      <c r="AN2" s="378"/>
    </row>
    <row r="3" spans="1:42" x14ac:dyDescent="0.2">
      <c r="A3" s="385"/>
      <c r="F3" s="378"/>
      <c r="L3" s="378"/>
      <c r="M3" s="378"/>
      <c r="N3" s="378"/>
      <c r="O3" s="378"/>
      <c r="P3" s="378"/>
      <c r="Q3" s="378"/>
      <c r="R3" s="390" t="s">
        <v>294</v>
      </c>
      <c r="S3" s="378"/>
      <c r="T3" s="378"/>
      <c r="U3" s="378"/>
      <c r="V3" s="378"/>
      <c r="W3" s="388">
        <v>0.5</v>
      </c>
      <c r="X3" s="389" t="s">
        <v>293</v>
      </c>
      <c r="Y3" s="378"/>
      <c r="Z3" s="378"/>
      <c r="AA3" s="378"/>
      <c r="AB3" s="378"/>
      <c r="AE3" s="386"/>
      <c r="AF3" s="386"/>
      <c r="AG3" s="386"/>
      <c r="AH3" s="391"/>
      <c r="AI3" s="386"/>
      <c r="AJ3" s="386"/>
      <c r="AK3" s="386"/>
      <c r="AL3" s="386"/>
      <c r="AM3" s="386"/>
      <c r="AN3" s="386"/>
      <c r="AO3" s="386"/>
      <c r="AP3" s="386"/>
    </row>
    <row r="4" spans="1:42" x14ac:dyDescent="0.2">
      <c r="F4" s="378"/>
      <c r="L4" s="378"/>
      <c r="M4" s="378"/>
      <c r="N4" s="378"/>
      <c r="O4" s="378"/>
      <c r="P4" s="378"/>
      <c r="Q4" s="378"/>
      <c r="R4" s="392" t="s">
        <v>295</v>
      </c>
      <c r="S4" s="378"/>
      <c r="T4" s="378"/>
      <c r="U4" s="378"/>
      <c r="V4" s="378"/>
      <c r="W4" s="388">
        <v>0</v>
      </c>
      <c r="X4" s="389" t="s">
        <v>293</v>
      </c>
      <c r="Y4" s="378"/>
      <c r="Z4" s="378"/>
      <c r="AA4" s="378"/>
      <c r="AB4" s="378"/>
    </row>
    <row r="5" spans="1:42" x14ac:dyDescent="0.2">
      <c r="F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W5" s="378"/>
      <c r="X5" s="378"/>
      <c r="Y5" s="378"/>
      <c r="Z5" s="378"/>
      <c r="AA5" s="378"/>
      <c r="AB5" s="393" t="s">
        <v>296</v>
      </c>
      <c r="AD5" s="394" t="s">
        <v>297</v>
      </c>
    </row>
    <row r="6" spans="1:42" x14ac:dyDescent="0.2">
      <c r="A6" s="395" t="s">
        <v>157</v>
      </c>
      <c r="B6" s="395" t="s">
        <v>156</v>
      </c>
      <c r="C6" s="396" t="s">
        <v>298</v>
      </c>
      <c r="D6" s="397"/>
      <c r="E6" s="397"/>
      <c r="F6" s="398"/>
      <c r="G6" s="396" t="s">
        <v>299</v>
      </c>
      <c r="H6" s="397"/>
      <c r="I6" s="397"/>
      <c r="J6" s="398"/>
      <c r="K6" s="396" t="s">
        <v>300</v>
      </c>
      <c r="L6" s="397"/>
      <c r="M6" s="397"/>
      <c r="N6" s="398"/>
      <c r="O6" s="396" t="s">
        <v>301</v>
      </c>
      <c r="P6" s="397"/>
      <c r="Q6" s="397"/>
      <c r="R6" s="398"/>
      <c r="S6" s="396" t="s">
        <v>302</v>
      </c>
      <c r="T6" s="397"/>
      <c r="U6" s="397"/>
      <c r="V6" s="398"/>
      <c r="W6" s="395" t="s">
        <v>142</v>
      </c>
      <c r="X6" s="399" t="s">
        <v>303</v>
      </c>
      <c r="Y6" s="395" t="s">
        <v>304</v>
      </c>
      <c r="Z6" s="399"/>
      <c r="AA6" s="400" t="s">
        <v>305</v>
      </c>
      <c r="AB6" s="401"/>
      <c r="AC6" s="402" t="s">
        <v>306</v>
      </c>
      <c r="AD6" s="403" t="s">
        <v>261</v>
      </c>
      <c r="AE6" s="404"/>
      <c r="AF6" s="404" t="s">
        <v>307</v>
      </c>
      <c r="AG6" s="404"/>
      <c r="AH6" s="405" t="s">
        <v>308</v>
      </c>
      <c r="AI6" s="404"/>
      <c r="AJ6" s="404" t="s">
        <v>309</v>
      </c>
      <c r="AK6" s="406"/>
      <c r="AL6" s="404" t="s">
        <v>310</v>
      </c>
      <c r="AM6" s="406"/>
      <c r="AN6" s="406" t="s">
        <v>311</v>
      </c>
      <c r="AO6" s="407"/>
      <c r="AP6" s="406" t="s">
        <v>312</v>
      </c>
    </row>
    <row r="7" spans="1:42" x14ac:dyDescent="0.2">
      <c r="A7" s="408">
        <v>1</v>
      </c>
      <c r="B7" s="409" t="s">
        <v>393</v>
      </c>
      <c r="C7" s="410">
        <v>13</v>
      </c>
      <c r="D7" s="411" t="s">
        <v>313</v>
      </c>
      <c r="E7" s="411">
        <v>5</v>
      </c>
      <c r="F7" s="412" t="s">
        <v>322</v>
      </c>
      <c r="G7" s="410">
        <v>13</v>
      </c>
      <c r="H7" s="411" t="s">
        <v>313</v>
      </c>
      <c r="I7" s="411">
        <v>1</v>
      </c>
      <c r="J7" s="412" t="s">
        <v>425</v>
      </c>
      <c r="K7" s="410">
        <v>12</v>
      </c>
      <c r="L7" s="411" t="s">
        <v>313</v>
      </c>
      <c r="M7" s="411">
        <v>11</v>
      </c>
      <c r="N7" s="412" t="s">
        <v>323</v>
      </c>
      <c r="O7" s="410">
        <v>13</v>
      </c>
      <c r="P7" s="411" t="s">
        <v>313</v>
      </c>
      <c r="Q7" s="411">
        <v>7</v>
      </c>
      <c r="R7" s="412" t="s">
        <v>390</v>
      </c>
      <c r="S7" s="410">
        <v>13</v>
      </c>
      <c r="T7" s="411" t="s">
        <v>313</v>
      </c>
      <c r="U7" s="411">
        <v>5</v>
      </c>
      <c r="V7" s="412" t="s">
        <v>395</v>
      </c>
      <c r="W7" s="413">
        <f t="shared" ref="W7:W19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5</v>
      </c>
      <c r="X7" s="414">
        <v>24</v>
      </c>
      <c r="Y7" s="414">
        <v>152</v>
      </c>
      <c r="Z7" s="410">
        <f t="shared" ref="Z7:Z19" si="1">C7+G7+K7+O7+S7</f>
        <v>64</v>
      </c>
      <c r="AA7" s="411" t="s">
        <v>313</v>
      </c>
      <c r="AB7" s="415">
        <f t="shared" ref="AB7:AB19" si="2">E7+I7+M7+Q7+U7</f>
        <v>29</v>
      </c>
      <c r="AC7" s="416">
        <f t="shared" ref="AC7:AC19" si="3">Z7-AB7</f>
        <v>35</v>
      </c>
      <c r="AD7" s="417">
        <f t="shared" ref="AD7:AD10" si="4">SUM(AE7:AL7)</f>
        <v>42</v>
      </c>
      <c r="AE7" s="418">
        <f>IFERROR(INDEX(V!$R:$R,MATCH(AF7,V!$L:$L,0)),"")</f>
        <v>32</v>
      </c>
      <c r="AF7" s="419" t="str">
        <f t="shared" ref="AF7:AF20" si="5">IFERROR(LEFT($B7,(FIND(",",$B7,1)-1)),"")</f>
        <v>Jaan Sepp</v>
      </c>
      <c r="AG7" s="418">
        <f>IFERROR(INDEX(V!$R:$R,MATCH(AH7,V!$L:$L,0)),"")</f>
        <v>10</v>
      </c>
      <c r="AH7" s="419" t="str">
        <f t="shared" ref="AH7:AH20" si="6">IFERROR(MID($B7,FIND(", ",$B7)+2,256),"")</f>
        <v>Oskar Sepp</v>
      </c>
      <c r="AI7" s="418" t="str">
        <f>IFERROR(INDEX(V!$R:$R,MATCH(AJ7,V!$L:$L,0)),"")</f>
        <v/>
      </c>
      <c r="AJ7" s="419" t="str">
        <f t="shared" ref="AJ7:AJ20" si="7">IFERROR(MID($B7,FIND("^",SUBSTITUTE($B7,", ","^",1))+2,FIND("^",SUBSTITUTE($B7,", ","^",2))-FIND("^",SUBSTITUTE($B7,", ","^",1))-2),"")</f>
        <v/>
      </c>
      <c r="AK7" s="418" t="str">
        <f>IFERROR(INDEX(V!$R:$R,MATCH(AL7,V!$L:$L,0)),"")</f>
        <v/>
      </c>
      <c r="AL7" s="419" t="str">
        <f t="shared" ref="AL7:AL20" si="8">IFERROR(MID($B7,FIND(", ",$B7,FIND(", ",$B7,FIND(", ",$B7))+1)+2,30000),"")</f>
        <v/>
      </c>
      <c r="AM7" s="418" t="str">
        <f>IFERROR(INDEX(V!$R:$R,MATCH(AN7,V!$L:$L,0)),"")</f>
        <v/>
      </c>
      <c r="AN7" s="419" t="str">
        <f t="shared" ref="AN7:AN20" si="9">IFERROR(MID($B7,FIND(", ",$B7,FIND(", ",$B7)+1)+2,FIND(", ",$B7,FIND(", ",$B7,FIND(", ",$B7)+1)+1)-FIND(", ",$B7,FIND(", ",$B7)+1)-2),"")</f>
        <v/>
      </c>
      <c r="AO7" s="418" t="str">
        <f>IFERROR(INDEX(V!$R:$R,MATCH(AP7,V!$L:$L,0)),"")</f>
        <v/>
      </c>
      <c r="AP7" s="419" t="str">
        <f t="shared" ref="AP7:AP20" si="10">IFERROR(MID($B7,FIND(", ",$B7,FIND(", ",$B7,FIND(", ",$B7)+1)+1)+2,30000),"")</f>
        <v/>
      </c>
    </row>
    <row r="8" spans="1:42" x14ac:dyDescent="0.2">
      <c r="A8" s="408">
        <v>2</v>
      </c>
      <c r="B8" s="420" t="s">
        <v>390</v>
      </c>
      <c r="C8" s="410">
        <v>13</v>
      </c>
      <c r="D8" s="411" t="s">
        <v>313</v>
      </c>
      <c r="E8" s="411">
        <v>9</v>
      </c>
      <c r="F8" s="412" t="s">
        <v>394</v>
      </c>
      <c r="G8" s="410">
        <v>13</v>
      </c>
      <c r="H8" s="411" t="s">
        <v>313</v>
      </c>
      <c r="I8" s="411">
        <v>3</v>
      </c>
      <c r="J8" s="412" t="s">
        <v>419</v>
      </c>
      <c r="K8" s="410">
        <v>13</v>
      </c>
      <c r="L8" s="411" t="s">
        <v>313</v>
      </c>
      <c r="M8" s="411">
        <v>5</v>
      </c>
      <c r="N8" s="412" t="s">
        <v>420</v>
      </c>
      <c r="O8" s="410">
        <v>7</v>
      </c>
      <c r="P8" s="411" t="s">
        <v>313</v>
      </c>
      <c r="Q8" s="411">
        <v>13</v>
      </c>
      <c r="R8" s="412" t="s">
        <v>393</v>
      </c>
      <c r="S8" s="410">
        <v>13</v>
      </c>
      <c r="T8" s="411" t="s">
        <v>313</v>
      </c>
      <c r="U8" s="411">
        <v>7</v>
      </c>
      <c r="V8" s="412" t="s">
        <v>403</v>
      </c>
      <c r="W8" s="413">
        <f t="shared" si="0"/>
        <v>4</v>
      </c>
      <c r="X8" s="414">
        <v>28</v>
      </c>
      <c r="Y8" s="414">
        <v>126</v>
      </c>
      <c r="Z8" s="410">
        <f t="shared" si="1"/>
        <v>59</v>
      </c>
      <c r="AA8" s="411" t="s">
        <v>313</v>
      </c>
      <c r="AB8" s="415">
        <f t="shared" si="2"/>
        <v>37</v>
      </c>
      <c r="AC8" s="416">
        <f t="shared" si="3"/>
        <v>22</v>
      </c>
      <c r="AD8" s="417">
        <f t="shared" si="4"/>
        <v>214</v>
      </c>
      <c r="AE8" s="418">
        <f>IFERROR(INDEX(V!$R:$R,MATCH(AF8,V!$L:$L,0)),"")</f>
        <v>132</v>
      </c>
      <c r="AF8" s="419" t="str">
        <f t="shared" si="5"/>
        <v>Ivar Viljaste</v>
      </c>
      <c r="AG8" s="418">
        <f>IFERROR(INDEX(V!$R:$R,MATCH(AH8,V!$L:$L,0)),"")</f>
        <v>82</v>
      </c>
      <c r="AH8" s="419" t="str">
        <f t="shared" si="6"/>
        <v>Matti Vinni</v>
      </c>
      <c r="AI8" s="418" t="str">
        <f>IFERROR(INDEX(V!$R:$R,MATCH(AJ8,V!$L:$L,0)),"")</f>
        <v/>
      </c>
      <c r="AJ8" s="419" t="str">
        <f t="shared" si="7"/>
        <v/>
      </c>
      <c r="AK8" s="418" t="str">
        <f>IFERROR(INDEX(V!$R:$R,MATCH(AL8,V!$L:$L,0)),"")</f>
        <v/>
      </c>
      <c r="AL8" s="419" t="str">
        <f t="shared" si="8"/>
        <v/>
      </c>
      <c r="AM8" s="418" t="str">
        <f>IFERROR(INDEX(V!$R:$R,MATCH(AN8,V!$L:$L,0)),"")</f>
        <v/>
      </c>
      <c r="AN8" s="419" t="str">
        <f t="shared" si="9"/>
        <v/>
      </c>
      <c r="AO8" s="418" t="str">
        <f>IFERROR(INDEX(V!$R:$R,MATCH(AP8,V!$L:$L,0)),"")</f>
        <v/>
      </c>
      <c r="AP8" s="419" t="str">
        <f t="shared" si="10"/>
        <v/>
      </c>
    </row>
    <row r="9" spans="1:42" x14ac:dyDescent="0.2">
      <c r="A9" s="408">
        <v>3</v>
      </c>
      <c r="B9" s="421" t="s">
        <v>421</v>
      </c>
      <c r="C9" s="410">
        <v>12</v>
      </c>
      <c r="D9" s="411" t="s">
        <v>313</v>
      </c>
      <c r="E9" s="411">
        <v>13</v>
      </c>
      <c r="F9" s="412" t="s">
        <v>395</v>
      </c>
      <c r="G9" s="410">
        <v>13</v>
      </c>
      <c r="H9" s="411" t="s">
        <v>313</v>
      </c>
      <c r="I9" s="411">
        <v>3</v>
      </c>
      <c r="J9" s="412" t="s">
        <v>394</v>
      </c>
      <c r="K9" s="410">
        <v>13</v>
      </c>
      <c r="L9" s="411" t="s">
        <v>313</v>
      </c>
      <c r="M9" s="411">
        <v>2</v>
      </c>
      <c r="N9" s="412" t="s">
        <v>422</v>
      </c>
      <c r="O9" s="410">
        <v>13</v>
      </c>
      <c r="P9" s="411" t="s">
        <v>313</v>
      </c>
      <c r="Q9" s="411">
        <v>11</v>
      </c>
      <c r="R9" s="412" t="s">
        <v>419</v>
      </c>
      <c r="S9" s="410">
        <v>13</v>
      </c>
      <c r="T9" s="411" t="s">
        <v>313</v>
      </c>
      <c r="U9" s="411">
        <v>6</v>
      </c>
      <c r="V9" s="412" t="s">
        <v>323</v>
      </c>
      <c r="W9" s="413">
        <f t="shared" si="0"/>
        <v>4</v>
      </c>
      <c r="X9" s="414">
        <v>16</v>
      </c>
      <c r="Y9" s="414">
        <v>146</v>
      </c>
      <c r="Z9" s="410">
        <f t="shared" si="1"/>
        <v>64</v>
      </c>
      <c r="AA9" s="411" t="s">
        <v>313</v>
      </c>
      <c r="AB9" s="415">
        <f t="shared" si="2"/>
        <v>35</v>
      </c>
      <c r="AC9" s="416">
        <f t="shared" si="3"/>
        <v>29</v>
      </c>
      <c r="AD9" s="417">
        <f t="shared" si="4"/>
        <v>400</v>
      </c>
      <c r="AE9" s="418">
        <f>IFERROR(INDEX(V!$R:$R,MATCH(AF9,V!$L:$L,0)),"")</f>
        <v>234</v>
      </c>
      <c r="AF9" s="419" t="str">
        <f t="shared" si="5"/>
        <v>Kenneth Muusikus</v>
      </c>
      <c r="AG9" s="418">
        <f>IFERROR(INDEX(V!$R:$R,MATCH(AH9,V!$L:$L,0)),"")</f>
        <v>166</v>
      </c>
      <c r="AH9" s="419" t="str">
        <f t="shared" si="6"/>
        <v>Sander Rose</v>
      </c>
      <c r="AI9" s="418" t="str">
        <f>IFERROR(INDEX(V!$R:$R,MATCH(AJ9,V!$L:$L,0)),"")</f>
        <v/>
      </c>
      <c r="AJ9" s="419" t="str">
        <f t="shared" si="7"/>
        <v/>
      </c>
      <c r="AK9" s="418" t="str">
        <f>IFERROR(INDEX(V!$R:$R,MATCH(AL9,V!$L:$L,0)),"")</f>
        <v/>
      </c>
      <c r="AL9" s="419" t="str">
        <f t="shared" si="8"/>
        <v/>
      </c>
      <c r="AM9" s="418" t="str">
        <f>IFERROR(INDEX(V!$R:$R,MATCH(AN9,V!$L:$L,0)),"")</f>
        <v/>
      </c>
      <c r="AN9" s="419" t="str">
        <f t="shared" si="9"/>
        <v/>
      </c>
      <c r="AO9" s="418" t="str">
        <f>IFERROR(INDEX(V!$R:$R,MATCH(AP9,V!$L:$L,0)),"")</f>
        <v/>
      </c>
      <c r="AP9" s="419" t="str">
        <f t="shared" si="10"/>
        <v/>
      </c>
    </row>
    <row r="10" spans="1:42" x14ac:dyDescent="0.2">
      <c r="A10" s="408">
        <v>4</v>
      </c>
      <c r="B10" s="421" t="s">
        <v>395</v>
      </c>
      <c r="C10" s="410">
        <v>13</v>
      </c>
      <c r="D10" s="411" t="s">
        <v>313</v>
      </c>
      <c r="E10" s="411">
        <v>12</v>
      </c>
      <c r="F10" s="412" t="s">
        <v>421</v>
      </c>
      <c r="G10" s="410">
        <v>10</v>
      </c>
      <c r="H10" s="411" t="s">
        <v>313</v>
      </c>
      <c r="I10" s="411">
        <v>13</v>
      </c>
      <c r="J10" s="412" t="s">
        <v>403</v>
      </c>
      <c r="K10" s="410">
        <v>13</v>
      </c>
      <c r="L10" s="411" t="s">
        <v>313</v>
      </c>
      <c r="M10" s="411">
        <v>8</v>
      </c>
      <c r="N10" s="412" t="s">
        <v>423</v>
      </c>
      <c r="O10" s="410">
        <v>13</v>
      </c>
      <c r="P10" s="411" t="s">
        <v>313</v>
      </c>
      <c r="Q10" s="411">
        <v>9</v>
      </c>
      <c r="R10" s="412" t="s">
        <v>323</v>
      </c>
      <c r="S10" s="410">
        <v>5</v>
      </c>
      <c r="T10" s="411" t="s">
        <v>313</v>
      </c>
      <c r="U10" s="411">
        <v>13</v>
      </c>
      <c r="V10" s="412" t="s">
        <v>393</v>
      </c>
      <c r="W10" s="413">
        <f t="shared" si="0"/>
        <v>3</v>
      </c>
      <c r="X10" s="414">
        <v>34</v>
      </c>
      <c r="Y10" s="414">
        <v>110</v>
      </c>
      <c r="Z10" s="410">
        <f t="shared" si="1"/>
        <v>54</v>
      </c>
      <c r="AA10" s="411" t="s">
        <v>313</v>
      </c>
      <c r="AB10" s="415">
        <f t="shared" si="2"/>
        <v>55</v>
      </c>
      <c r="AC10" s="416">
        <f t="shared" si="3"/>
        <v>-1</v>
      </c>
      <c r="AD10" s="417">
        <f t="shared" si="4"/>
        <v>60</v>
      </c>
      <c r="AE10" s="418">
        <f>IFERROR(INDEX(V!$R:$R,MATCH(AF10,V!$L:$L,0)),"")</f>
        <v>22</v>
      </c>
      <c r="AF10" s="419" t="str">
        <f t="shared" si="5"/>
        <v>Lemmit Toomra</v>
      </c>
      <c r="AG10" s="418">
        <f>IFERROR(INDEX(V!$R:$R,MATCH(AH10,V!$L:$L,0)),"")</f>
        <v>38</v>
      </c>
      <c r="AH10" s="419" t="str">
        <f t="shared" si="6"/>
        <v>Tõnu Kapper</v>
      </c>
      <c r="AI10" s="418" t="str">
        <f>IFERROR(INDEX(V!$R:$R,MATCH(AJ10,V!$L:$L,0)),"")</f>
        <v/>
      </c>
      <c r="AJ10" s="419" t="str">
        <f t="shared" si="7"/>
        <v/>
      </c>
      <c r="AK10" s="418" t="str">
        <f>IFERROR(INDEX(V!$R:$R,MATCH(AL10,V!$L:$L,0)),"")</f>
        <v/>
      </c>
      <c r="AL10" s="419" t="str">
        <f t="shared" si="8"/>
        <v/>
      </c>
      <c r="AM10" s="418" t="str">
        <f>IFERROR(INDEX(V!$R:$R,MATCH(AN10,V!$L:$L,0)),"")</f>
        <v/>
      </c>
      <c r="AN10" s="419" t="str">
        <f t="shared" si="9"/>
        <v/>
      </c>
      <c r="AO10" s="418" t="str">
        <f>IFERROR(INDEX(V!$R:$R,MATCH(AP10,V!$L:$L,0)),"")</f>
        <v/>
      </c>
      <c r="AP10" s="419" t="str">
        <f t="shared" si="10"/>
        <v/>
      </c>
    </row>
    <row r="11" spans="1:42" x14ac:dyDescent="0.2">
      <c r="A11" s="408">
        <v>5</v>
      </c>
      <c r="B11" s="420" t="s">
        <v>420</v>
      </c>
      <c r="C11" s="410">
        <v>13</v>
      </c>
      <c r="D11" s="411" t="s">
        <v>313</v>
      </c>
      <c r="E11" s="411">
        <v>7</v>
      </c>
      <c r="F11" s="412" t="s">
        <v>423</v>
      </c>
      <c r="G11" s="410">
        <v>4</v>
      </c>
      <c r="H11" s="411" t="s">
        <v>313</v>
      </c>
      <c r="I11" s="411">
        <v>13</v>
      </c>
      <c r="J11" s="412" t="s">
        <v>323</v>
      </c>
      <c r="K11" s="410">
        <v>5</v>
      </c>
      <c r="L11" s="411" t="s">
        <v>313</v>
      </c>
      <c r="M11" s="411">
        <v>13</v>
      </c>
      <c r="N11" s="412" t="s">
        <v>390</v>
      </c>
      <c r="O11" s="410">
        <v>13</v>
      </c>
      <c r="P11" s="411" t="s">
        <v>313</v>
      </c>
      <c r="Q11" s="411">
        <v>1</v>
      </c>
      <c r="R11" s="412" t="s">
        <v>425</v>
      </c>
      <c r="S11" s="410">
        <v>13</v>
      </c>
      <c r="T11" s="411" t="s">
        <v>313</v>
      </c>
      <c r="U11" s="411">
        <v>7</v>
      </c>
      <c r="V11" s="412" t="s">
        <v>322</v>
      </c>
      <c r="W11" s="413">
        <f t="shared" si="0"/>
        <v>3</v>
      </c>
      <c r="X11" s="414">
        <v>24</v>
      </c>
      <c r="Y11" s="414">
        <v>136</v>
      </c>
      <c r="Z11" s="410">
        <f t="shared" si="1"/>
        <v>48</v>
      </c>
      <c r="AA11" s="411" t="s">
        <v>313</v>
      </c>
      <c r="AB11" s="415">
        <f t="shared" si="2"/>
        <v>41</v>
      </c>
      <c r="AC11" s="416">
        <f t="shared" si="3"/>
        <v>7</v>
      </c>
      <c r="AD11" s="417">
        <f t="shared" ref="AD11:AD13" si="11">SUM(AE11:AL11)</f>
        <v>222</v>
      </c>
      <c r="AE11" s="418">
        <f>IFERROR(INDEX(V!$R:$R,MATCH(AF11,V!$L:$L,0)),"")</f>
        <v>94</v>
      </c>
      <c r="AF11" s="419" t="str">
        <f t="shared" si="5"/>
        <v>Johannes Neiland</v>
      </c>
      <c r="AG11" s="418">
        <f>IFERROR(INDEX(V!$R:$R,MATCH(AH11,V!$L:$L,0)),"")</f>
        <v>128</v>
      </c>
      <c r="AH11" s="419" t="str">
        <f t="shared" si="6"/>
        <v>Urmas Randlaine</v>
      </c>
      <c r="AI11" s="418" t="str">
        <f>IFERROR(INDEX(V!$R:$R,MATCH(AJ11,V!$L:$L,0)),"")</f>
        <v/>
      </c>
      <c r="AJ11" s="419" t="str">
        <f t="shared" si="7"/>
        <v/>
      </c>
      <c r="AK11" s="418" t="str">
        <f>IFERROR(INDEX(V!$R:$R,MATCH(AL11,V!$L:$L,0)),"")</f>
        <v/>
      </c>
      <c r="AL11" s="419" t="str">
        <f t="shared" si="8"/>
        <v/>
      </c>
      <c r="AM11" s="418" t="str">
        <f>IFERROR(INDEX(V!$R:$R,MATCH(AN11,V!$L:$L,0)),"")</f>
        <v/>
      </c>
      <c r="AN11" s="419" t="str">
        <f t="shared" si="9"/>
        <v/>
      </c>
      <c r="AO11" s="418" t="str">
        <f>IFERROR(INDEX(V!$R:$R,MATCH(AP11,V!$L:$L,0)),"")</f>
        <v/>
      </c>
      <c r="AP11" s="419" t="str">
        <f t="shared" si="10"/>
        <v/>
      </c>
    </row>
    <row r="12" spans="1:42" x14ac:dyDescent="0.2">
      <c r="A12" s="408">
        <v>6</v>
      </c>
      <c r="B12" s="421" t="s">
        <v>403</v>
      </c>
      <c r="C12" s="410">
        <v>10</v>
      </c>
      <c r="D12" s="411" t="s">
        <v>313</v>
      </c>
      <c r="E12" s="411">
        <v>12</v>
      </c>
      <c r="F12" s="412" t="s">
        <v>419</v>
      </c>
      <c r="G12" s="410">
        <v>13</v>
      </c>
      <c r="H12" s="411" t="s">
        <v>313</v>
      </c>
      <c r="I12" s="411">
        <v>10</v>
      </c>
      <c r="J12" s="412" t="s">
        <v>395</v>
      </c>
      <c r="K12" s="410">
        <v>13</v>
      </c>
      <c r="L12" s="411" t="s">
        <v>313</v>
      </c>
      <c r="M12" s="411">
        <v>5</v>
      </c>
      <c r="N12" s="412" t="s">
        <v>425</v>
      </c>
      <c r="O12" s="410">
        <v>12</v>
      </c>
      <c r="P12" s="411" t="s">
        <v>313</v>
      </c>
      <c r="Q12" s="411">
        <v>9</v>
      </c>
      <c r="R12" s="412" t="s">
        <v>322</v>
      </c>
      <c r="S12" s="410">
        <v>7</v>
      </c>
      <c r="T12" s="411" t="s">
        <v>313</v>
      </c>
      <c r="U12" s="411">
        <v>13</v>
      </c>
      <c r="V12" s="412" t="s">
        <v>390</v>
      </c>
      <c r="W12" s="413">
        <f t="shared" si="0"/>
        <v>3</v>
      </c>
      <c r="X12" s="414">
        <v>22</v>
      </c>
      <c r="Y12" s="414">
        <v>152</v>
      </c>
      <c r="Z12" s="410">
        <f t="shared" si="1"/>
        <v>55</v>
      </c>
      <c r="AA12" s="411" t="s">
        <v>313</v>
      </c>
      <c r="AB12" s="415">
        <f t="shared" si="2"/>
        <v>49</v>
      </c>
      <c r="AC12" s="416">
        <f t="shared" si="3"/>
        <v>6</v>
      </c>
      <c r="AD12" s="417">
        <f t="shared" si="11"/>
        <v>196</v>
      </c>
      <c r="AE12" s="418">
        <f>IFERROR(INDEX(V!$R:$R,MATCH(AF12,V!$L:$L,0)),"")</f>
        <v>142</v>
      </c>
      <c r="AF12" s="419" t="str">
        <f t="shared" si="5"/>
        <v>Olav Türk</v>
      </c>
      <c r="AG12" s="418">
        <f>IFERROR(INDEX(V!$R:$R,MATCH(AH12,V!$L:$L,0)),"")</f>
        <v>54</v>
      </c>
      <c r="AH12" s="419" t="str">
        <f t="shared" si="6"/>
        <v>Sirje Maala</v>
      </c>
      <c r="AI12" s="418" t="str">
        <f>IFERROR(INDEX(V!$R:$R,MATCH(AJ12,V!$L:$L,0)),"")</f>
        <v/>
      </c>
      <c r="AJ12" s="419" t="str">
        <f t="shared" si="7"/>
        <v/>
      </c>
      <c r="AK12" s="418" t="str">
        <f>IFERROR(INDEX(V!$R:$R,MATCH(AL12,V!$L:$L,0)),"")</f>
        <v/>
      </c>
      <c r="AL12" s="419" t="str">
        <f t="shared" si="8"/>
        <v/>
      </c>
      <c r="AM12" s="418" t="str">
        <f>IFERROR(INDEX(V!$R:$R,MATCH(AN12,V!$L:$L,0)),"")</f>
        <v/>
      </c>
      <c r="AN12" s="419" t="str">
        <f t="shared" si="9"/>
        <v/>
      </c>
      <c r="AO12" s="418" t="str">
        <f>IFERROR(INDEX(V!$R:$R,MATCH(AP12,V!$L:$L,0)),"")</f>
        <v/>
      </c>
      <c r="AP12" s="419" t="str">
        <f t="shared" si="10"/>
        <v/>
      </c>
    </row>
    <row r="13" spans="1:42" x14ac:dyDescent="0.2">
      <c r="A13" s="408">
        <v>7</v>
      </c>
      <c r="B13" s="422" t="s">
        <v>423</v>
      </c>
      <c r="C13" s="410">
        <v>7</v>
      </c>
      <c r="D13" s="411" t="s">
        <v>313</v>
      </c>
      <c r="E13" s="411">
        <v>13</v>
      </c>
      <c r="F13" s="412" t="s">
        <v>420</v>
      </c>
      <c r="G13" s="410">
        <v>13</v>
      </c>
      <c r="H13" s="411" t="s">
        <v>313</v>
      </c>
      <c r="I13" s="411">
        <v>5</v>
      </c>
      <c r="J13" s="412" t="s">
        <v>422</v>
      </c>
      <c r="K13" s="410">
        <v>8</v>
      </c>
      <c r="L13" s="411" t="s">
        <v>313</v>
      </c>
      <c r="M13" s="411">
        <v>13</v>
      </c>
      <c r="N13" s="412" t="s">
        <v>395</v>
      </c>
      <c r="O13" s="410">
        <v>12</v>
      </c>
      <c r="P13" s="411" t="s">
        <v>313</v>
      </c>
      <c r="Q13" s="411">
        <v>8</v>
      </c>
      <c r="R13" s="412" t="s">
        <v>394</v>
      </c>
      <c r="S13" s="410">
        <v>13</v>
      </c>
      <c r="T13" s="411" t="s">
        <v>313</v>
      </c>
      <c r="U13" s="411">
        <v>10</v>
      </c>
      <c r="V13" s="412" t="s">
        <v>425</v>
      </c>
      <c r="W13" s="413">
        <f t="shared" si="0"/>
        <v>3</v>
      </c>
      <c r="X13" s="414">
        <v>18</v>
      </c>
      <c r="Y13" s="414">
        <v>142</v>
      </c>
      <c r="Z13" s="410">
        <f t="shared" si="1"/>
        <v>53</v>
      </c>
      <c r="AA13" s="411" t="s">
        <v>313</v>
      </c>
      <c r="AB13" s="415">
        <f t="shared" si="2"/>
        <v>49</v>
      </c>
      <c r="AC13" s="416">
        <f t="shared" si="3"/>
        <v>4</v>
      </c>
      <c r="AD13" s="417">
        <f t="shared" si="11"/>
        <v>0</v>
      </c>
      <c r="AE13" s="418">
        <f>IFERROR(INDEX(V!$R:$R,MATCH(AF13,V!$L:$L,0)),"")</f>
        <v>0</v>
      </c>
      <c r="AF13" s="419" t="str">
        <f t="shared" si="5"/>
        <v>Daniil Alekankin</v>
      </c>
      <c r="AG13" s="418">
        <f>IFERROR(INDEX(V!$R:$R,MATCH(AH13,V!$L:$L,0)),"")</f>
        <v>0</v>
      </c>
      <c r="AH13" s="419" t="str">
        <f t="shared" si="6"/>
        <v>Sergei Lošajets</v>
      </c>
      <c r="AI13" s="418" t="str">
        <f>IFERROR(INDEX(V!$R:$R,MATCH(AJ13,V!$L:$L,0)),"")</f>
        <v/>
      </c>
      <c r="AJ13" s="419" t="str">
        <f t="shared" si="7"/>
        <v/>
      </c>
      <c r="AK13" s="418" t="str">
        <f>IFERROR(INDEX(V!$R:$R,MATCH(AL13,V!$L:$L,0)),"")</f>
        <v/>
      </c>
      <c r="AL13" s="419" t="str">
        <f t="shared" si="8"/>
        <v/>
      </c>
      <c r="AM13" s="418" t="str">
        <f>IFERROR(INDEX(V!$R:$R,MATCH(AN13,V!$L:$L,0)),"")</f>
        <v/>
      </c>
      <c r="AN13" s="419" t="str">
        <f t="shared" si="9"/>
        <v/>
      </c>
      <c r="AO13" s="418" t="str">
        <f>IFERROR(INDEX(V!$R:$R,MATCH(AP13,V!$L:$L,0)),"")</f>
        <v/>
      </c>
      <c r="AP13" s="419" t="str">
        <f t="shared" si="10"/>
        <v/>
      </c>
    </row>
    <row r="14" spans="1:42" x14ac:dyDescent="0.2">
      <c r="A14" s="408">
        <v>8</v>
      </c>
      <c r="B14" s="422" t="s">
        <v>323</v>
      </c>
      <c r="C14" s="410">
        <v>13</v>
      </c>
      <c r="D14" s="411" t="s">
        <v>313</v>
      </c>
      <c r="E14" s="411">
        <v>6</v>
      </c>
      <c r="F14" s="412" t="s">
        <v>422</v>
      </c>
      <c r="G14" s="410">
        <v>13</v>
      </c>
      <c r="H14" s="411" t="s">
        <v>313</v>
      </c>
      <c r="I14" s="411">
        <v>4</v>
      </c>
      <c r="J14" s="412" t="s">
        <v>420</v>
      </c>
      <c r="K14" s="410">
        <v>11</v>
      </c>
      <c r="L14" s="411" t="s">
        <v>313</v>
      </c>
      <c r="M14" s="411">
        <v>12</v>
      </c>
      <c r="N14" s="412" t="s">
        <v>393</v>
      </c>
      <c r="O14" s="410">
        <v>9</v>
      </c>
      <c r="P14" s="411" t="s">
        <v>313</v>
      </c>
      <c r="Q14" s="411">
        <v>13</v>
      </c>
      <c r="R14" s="412" t="s">
        <v>395</v>
      </c>
      <c r="S14" s="410">
        <v>6</v>
      </c>
      <c r="T14" s="411" t="s">
        <v>313</v>
      </c>
      <c r="U14" s="411">
        <v>13</v>
      </c>
      <c r="V14" s="412" t="s">
        <v>421</v>
      </c>
      <c r="W14" s="413">
        <f t="shared" si="0"/>
        <v>2</v>
      </c>
      <c r="X14" s="414">
        <v>30</v>
      </c>
      <c r="Y14" s="414">
        <v>124</v>
      </c>
      <c r="Z14" s="410">
        <f t="shared" si="1"/>
        <v>52</v>
      </c>
      <c r="AA14" s="411" t="s">
        <v>313</v>
      </c>
      <c r="AB14" s="415">
        <f t="shared" si="2"/>
        <v>48</v>
      </c>
      <c r="AC14" s="416">
        <f t="shared" si="3"/>
        <v>4</v>
      </c>
      <c r="AD14" s="417">
        <f t="shared" ref="AD14:AD15" si="12">SUM(AE14:AL14)</f>
        <v>308</v>
      </c>
      <c r="AE14" s="418">
        <f>IFERROR(INDEX(V!$R:$R,MATCH(AF14,V!$L:$L,0)),"")</f>
        <v>154</v>
      </c>
      <c r="AF14" s="419" t="str">
        <f t="shared" si="5"/>
        <v>Kristel Tihhonjuk</v>
      </c>
      <c r="AG14" s="418">
        <f>IFERROR(INDEX(V!$R:$R,MATCH(AH14,V!$L:$L,0)),"")</f>
        <v>154</v>
      </c>
      <c r="AH14" s="419" t="str">
        <f t="shared" si="6"/>
        <v>Vadim Tihhonjuk</v>
      </c>
      <c r="AI14" s="418" t="str">
        <f>IFERROR(INDEX(V!$R:$R,MATCH(AJ14,V!$L:$L,0)),"")</f>
        <v/>
      </c>
      <c r="AJ14" s="419" t="str">
        <f t="shared" si="7"/>
        <v/>
      </c>
      <c r="AK14" s="418" t="str">
        <f>IFERROR(INDEX(V!$R:$R,MATCH(AL14,V!$L:$L,0)),"")</f>
        <v/>
      </c>
      <c r="AL14" s="419" t="str">
        <f t="shared" si="8"/>
        <v/>
      </c>
      <c r="AM14" s="418" t="str">
        <f>IFERROR(INDEX(V!$R:$R,MATCH(AN14,V!$L:$L,0)),"")</f>
        <v/>
      </c>
      <c r="AN14" s="419" t="str">
        <f t="shared" si="9"/>
        <v/>
      </c>
      <c r="AO14" s="418" t="str">
        <f>IFERROR(INDEX(V!$R:$R,MATCH(AP14,V!$L:$L,0)),"")</f>
        <v/>
      </c>
      <c r="AP14" s="419" t="str">
        <f t="shared" si="10"/>
        <v/>
      </c>
    </row>
    <row r="15" spans="1:42" x14ac:dyDescent="0.2">
      <c r="A15" s="408">
        <v>9</v>
      </c>
      <c r="B15" s="421" t="s">
        <v>322</v>
      </c>
      <c r="C15" s="410">
        <v>5</v>
      </c>
      <c r="D15" s="411" t="s">
        <v>313</v>
      </c>
      <c r="E15" s="411">
        <v>13</v>
      </c>
      <c r="F15" s="412" t="s">
        <v>393</v>
      </c>
      <c r="G15" s="410">
        <v>13</v>
      </c>
      <c r="H15" s="411" t="s">
        <v>313</v>
      </c>
      <c r="I15" s="411">
        <v>4</v>
      </c>
      <c r="J15" s="412" t="s">
        <v>424</v>
      </c>
      <c r="K15" s="410">
        <v>13</v>
      </c>
      <c r="L15" s="411" t="s">
        <v>313</v>
      </c>
      <c r="M15" s="411">
        <v>10</v>
      </c>
      <c r="N15" s="412" t="s">
        <v>419</v>
      </c>
      <c r="O15" s="410">
        <v>9</v>
      </c>
      <c r="P15" s="411" t="s">
        <v>313</v>
      </c>
      <c r="Q15" s="411">
        <v>12</v>
      </c>
      <c r="R15" s="412" t="s">
        <v>403</v>
      </c>
      <c r="S15" s="410">
        <v>7</v>
      </c>
      <c r="T15" s="411" t="s">
        <v>313</v>
      </c>
      <c r="U15" s="411">
        <v>13</v>
      </c>
      <c r="V15" s="412" t="s">
        <v>420</v>
      </c>
      <c r="W15" s="413">
        <f t="shared" si="0"/>
        <v>2</v>
      </c>
      <c r="X15" s="414">
        <v>28</v>
      </c>
      <c r="Y15" s="414">
        <v>112</v>
      </c>
      <c r="Z15" s="410">
        <f t="shared" si="1"/>
        <v>47</v>
      </c>
      <c r="AA15" s="411" t="s">
        <v>313</v>
      </c>
      <c r="AB15" s="415">
        <f t="shared" si="2"/>
        <v>52</v>
      </c>
      <c r="AC15" s="416">
        <f t="shared" si="3"/>
        <v>-5</v>
      </c>
      <c r="AD15" s="417">
        <f t="shared" si="12"/>
        <v>302</v>
      </c>
      <c r="AE15" s="418">
        <f>IFERROR(INDEX(V!$R:$R,MATCH(AF15,V!$L:$L,0)),"")</f>
        <v>152</v>
      </c>
      <c r="AF15" s="419" t="str">
        <f t="shared" si="5"/>
        <v>Andrei Grintšak</v>
      </c>
      <c r="AG15" s="418">
        <f>IFERROR(INDEX(V!$R:$R,MATCH(AH15,V!$L:$L,0)),"")</f>
        <v>150</v>
      </c>
      <c r="AH15" s="419" t="str">
        <f t="shared" si="6"/>
        <v>Enn Tokman</v>
      </c>
      <c r="AI15" s="418" t="str">
        <f>IFERROR(INDEX(V!$R:$R,MATCH(AJ15,V!$L:$L,0)),"")</f>
        <v/>
      </c>
      <c r="AJ15" s="419" t="str">
        <f t="shared" si="7"/>
        <v/>
      </c>
      <c r="AK15" s="418" t="str">
        <f>IFERROR(INDEX(V!$R:$R,MATCH(AL15,V!$L:$L,0)),"")</f>
        <v/>
      </c>
      <c r="AL15" s="419" t="str">
        <f t="shared" si="8"/>
        <v/>
      </c>
      <c r="AM15" s="418" t="str">
        <f>IFERROR(INDEX(V!$R:$R,MATCH(AN15,V!$L:$L,0)),"")</f>
        <v/>
      </c>
      <c r="AN15" s="419" t="str">
        <f t="shared" si="9"/>
        <v/>
      </c>
      <c r="AO15" s="418" t="str">
        <f>IFERROR(INDEX(V!$R:$R,MATCH(AP15,V!$L:$L,0)),"")</f>
        <v/>
      </c>
      <c r="AP15" s="419" t="str">
        <f t="shared" si="10"/>
        <v/>
      </c>
    </row>
    <row r="16" spans="1:42" x14ac:dyDescent="0.2">
      <c r="A16" s="408">
        <v>10</v>
      </c>
      <c r="B16" s="422" t="s">
        <v>394</v>
      </c>
      <c r="C16" s="410">
        <v>9</v>
      </c>
      <c r="D16" s="411" t="s">
        <v>313</v>
      </c>
      <c r="E16" s="411">
        <v>13</v>
      </c>
      <c r="F16" s="412" t="s">
        <v>390</v>
      </c>
      <c r="G16" s="410">
        <v>3</v>
      </c>
      <c r="H16" s="411" t="s">
        <v>313</v>
      </c>
      <c r="I16" s="411">
        <v>13</v>
      </c>
      <c r="J16" s="412" t="s">
        <v>421</v>
      </c>
      <c r="K16" s="410">
        <v>13</v>
      </c>
      <c r="L16" s="411" t="s">
        <v>313</v>
      </c>
      <c r="M16" s="411">
        <v>7</v>
      </c>
      <c r="N16" s="412" t="s">
        <v>424</v>
      </c>
      <c r="O16" s="410">
        <v>8</v>
      </c>
      <c r="P16" s="411" t="s">
        <v>313</v>
      </c>
      <c r="Q16" s="411">
        <v>12</v>
      </c>
      <c r="R16" s="412" t="s">
        <v>423</v>
      </c>
      <c r="S16" s="410">
        <v>13</v>
      </c>
      <c r="T16" s="411" t="s">
        <v>313</v>
      </c>
      <c r="U16" s="411">
        <v>6</v>
      </c>
      <c r="V16" s="412" t="s">
        <v>422</v>
      </c>
      <c r="W16" s="413">
        <f t="shared" si="0"/>
        <v>2</v>
      </c>
      <c r="X16" s="414">
        <v>26</v>
      </c>
      <c r="Y16" s="414">
        <v>100</v>
      </c>
      <c r="Z16" s="410">
        <f t="shared" si="1"/>
        <v>46</v>
      </c>
      <c r="AA16" s="411" t="s">
        <v>313</v>
      </c>
      <c r="AB16" s="415">
        <f t="shared" si="2"/>
        <v>51</v>
      </c>
      <c r="AC16" s="416">
        <f t="shared" si="3"/>
        <v>-5</v>
      </c>
      <c r="AD16" s="417">
        <f t="shared" ref="AD16:AD19" si="13">SUM(AE16:AL16)</f>
        <v>176</v>
      </c>
      <c r="AE16" s="418">
        <f>IFERROR(INDEX(V!$R:$R,MATCH(AF16,V!$L:$L,0)),"")</f>
        <v>62</v>
      </c>
      <c r="AF16" s="419" t="str">
        <f t="shared" si="5"/>
        <v>Boriss Klubov</v>
      </c>
      <c r="AG16" s="418">
        <f>IFERROR(INDEX(V!$R:$R,MATCH(AH16,V!$L:$L,0)),"")</f>
        <v>114</v>
      </c>
      <c r="AH16" s="419" t="str">
        <f t="shared" si="6"/>
        <v>Elmo Lageda</v>
      </c>
      <c r="AI16" s="418" t="str">
        <f>IFERROR(INDEX(V!$R:$R,MATCH(AJ16,V!$L:$L,0)),"")</f>
        <v/>
      </c>
      <c r="AJ16" s="419" t="str">
        <f t="shared" si="7"/>
        <v/>
      </c>
      <c r="AK16" s="418" t="str">
        <f>IFERROR(INDEX(V!$R:$R,MATCH(AL16,V!$L:$L,0)),"")</f>
        <v/>
      </c>
      <c r="AL16" s="419" t="str">
        <f t="shared" si="8"/>
        <v/>
      </c>
      <c r="AM16" s="418" t="str">
        <f>IFERROR(INDEX(V!$R:$R,MATCH(AN16,V!$L:$L,0)),"")</f>
        <v/>
      </c>
      <c r="AN16" s="419" t="str">
        <f t="shared" si="9"/>
        <v/>
      </c>
      <c r="AO16" s="418" t="str">
        <f>IFERROR(INDEX(V!$R:$R,MATCH(AP16,V!$L:$L,0)),"")</f>
        <v/>
      </c>
      <c r="AP16" s="419" t="str">
        <f t="shared" si="10"/>
        <v/>
      </c>
    </row>
    <row r="17" spans="1:42" x14ac:dyDescent="0.2">
      <c r="A17" s="408">
        <v>11</v>
      </c>
      <c r="B17" s="421" t="s">
        <v>424</v>
      </c>
      <c r="C17" s="410">
        <v>3</v>
      </c>
      <c r="D17" s="411" t="s">
        <v>313</v>
      </c>
      <c r="E17" s="411">
        <v>13</v>
      </c>
      <c r="F17" s="412" t="s">
        <v>425</v>
      </c>
      <c r="G17" s="410">
        <v>4</v>
      </c>
      <c r="H17" s="411" t="s">
        <v>313</v>
      </c>
      <c r="I17" s="411">
        <v>13</v>
      </c>
      <c r="J17" s="412" t="s">
        <v>322</v>
      </c>
      <c r="K17" s="410">
        <v>7</v>
      </c>
      <c r="L17" s="411" t="s">
        <v>313</v>
      </c>
      <c r="M17" s="411">
        <v>13</v>
      </c>
      <c r="N17" s="412" t="s">
        <v>394</v>
      </c>
      <c r="O17" s="410">
        <v>13</v>
      </c>
      <c r="P17" s="411" t="s">
        <v>313</v>
      </c>
      <c r="Q17" s="411">
        <v>9</v>
      </c>
      <c r="R17" s="412" t="s">
        <v>422</v>
      </c>
      <c r="S17" s="410">
        <v>13</v>
      </c>
      <c r="T17" s="411" t="s">
        <v>313</v>
      </c>
      <c r="U17" s="411">
        <v>1</v>
      </c>
      <c r="V17" s="412" t="s">
        <v>419</v>
      </c>
      <c r="W17" s="413">
        <f t="shared" si="0"/>
        <v>2</v>
      </c>
      <c r="X17" s="414">
        <v>12</v>
      </c>
      <c r="Y17" s="414">
        <v>142</v>
      </c>
      <c r="Z17" s="410">
        <f t="shared" si="1"/>
        <v>40</v>
      </c>
      <c r="AA17" s="411" t="s">
        <v>313</v>
      </c>
      <c r="AB17" s="415">
        <f t="shared" si="2"/>
        <v>49</v>
      </c>
      <c r="AC17" s="416">
        <f t="shared" si="3"/>
        <v>-9</v>
      </c>
      <c r="AD17" s="417">
        <f t="shared" si="13"/>
        <v>106</v>
      </c>
      <c r="AE17" s="418">
        <f>IFERROR(INDEX(V!$R:$R,MATCH(AF17,V!$L:$L,0)),"")</f>
        <v>92</v>
      </c>
      <c r="AF17" s="419" t="str">
        <f t="shared" si="5"/>
        <v>Liidia Põllu</v>
      </c>
      <c r="AG17" s="418">
        <f>IFERROR(INDEX(V!$R:$R,MATCH(AH17,V!$L:$L,0)),"")</f>
        <v>14</v>
      </c>
      <c r="AH17" s="419" t="str">
        <f t="shared" si="6"/>
        <v>Veronika Pirk</v>
      </c>
      <c r="AI17" s="418" t="str">
        <f>IFERROR(INDEX(V!$R:$R,MATCH(AJ17,V!$L:$L,0)),"")</f>
        <v/>
      </c>
      <c r="AJ17" s="419" t="str">
        <f t="shared" si="7"/>
        <v/>
      </c>
      <c r="AK17" s="418" t="str">
        <f>IFERROR(INDEX(V!$R:$R,MATCH(AL17,V!$L:$L,0)),"")</f>
        <v/>
      </c>
      <c r="AL17" s="419" t="str">
        <f t="shared" si="8"/>
        <v/>
      </c>
      <c r="AM17" s="418" t="str">
        <f>IFERROR(INDEX(V!$R:$R,MATCH(AN17,V!$L:$L,0)),"")</f>
        <v/>
      </c>
      <c r="AN17" s="419" t="str">
        <f t="shared" si="9"/>
        <v/>
      </c>
      <c r="AO17" s="418" t="str">
        <f>IFERROR(INDEX(V!$R:$R,MATCH(AP17,V!$L:$L,0)),"")</f>
        <v/>
      </c>
      <c r="AP17" s="419" t="str">
        <f t="shared" si="10"/>
        <v/>
      </c>
    </row>
    <row r="18" spans="1:42" x14ac:dyDescent="0.2">
      <c r="A18" s="408">
        <v>12</v>
      </c>
      <c r="B18" s="422" t="s">
        <v>425</v>
      </c>
      <c r="C18" s="410">
        <v>13</v>
      </c>
      <c r="D18" s="411" t="s">
        <v>313</v>
      </c>
      <c r="E18" s="411">
        <v>3</v>
      </c>
      <c r="F18" s="412" t="s">
        <v>424</v>
      </c>
      <c r="G18" s="410">
        <v>1</v>
      </c>
      <c r="H18" s="411" t="s">
        <v>313</v>
      </c>
      <c r="I18" s="411">
        <v>13</v>
      </c>
      <c r="J18" s="412" t="s">
        <v>393</v>
      </c>
      <c r="K18" s="410">
        <v>5</v>
      </c>
      <c r="L18" s="411" t="s">
        <v>313</v>
      </c>
      <c r="M18" s="411">
        <v>13</v>
      </c>
      <c r="N18" s="412" t="s">
        <v>403</v>
      </c>
      <c r="O18" s="410">
        <v>1</v>
      </c>
      <c r="P18" s="411" t="s">
        <v>313</v>
      </c>
      <c r="Q18" s="411">
        <v>13</v>
      </c>
      <c r="R18" s="412" t="s">
        <v>420</v>
      </c>
      <c r="S18" s="410">
        <v>10</v>
      </c>
      <c r="T18" s="411" t="s">
        <v>313</v>
      </c>
      <c r="U18" s="411">
        <v>13</v>
      </c>
      <c r="V18" s="412" t="s">
        <v>423</v>
      </c>
      <c r="W18" s="413">
        <f t="shared" si="0"/>
        <v>1</v>
      </c>
      <c r="X18" s="414">
        <v>32</v>
      </c>
      <c r="Y18" s="414">
        <v>100</v>
      </c>
      <c r="Z18" s="410">
        <f t="shared" si="1"/>
        <v>30</v>
      </c>
      <c r="AA18" s="411" t="s">
        <v>313</v>
      </c>
      <c r="AB18" s="415">
        <f t="shared" si="2"/>
        <v>55</v>
      </c>
      <c r="AC18" s="416">
        <f t="shared" si="3"/>
        <v>-25</v>
      </c>
      <c r="AD18" s="417">
        <f t="shared" si="13"/>
        <v>190</v>
      </c>
      <c r="AE18" s="418">
        <f>IFERROR(INDEX(V!$R:$R,MATCH(AF18,V!$L:$L,0)),"")</f>
        <v>108</v>
      </c>
      <c r="AF18" s="419" t="str">
        <f t="shared" si="5"/>
        <v>Marko Rooden</v>
      </c>
      <c r="AG18" s="418">
        <f>IFERROR(INDEX(V!$R:$R,MATCH(AH18,V!$L:$L,0)),"")</f>
        <v>82</v>
      </c>
      <c r="AH18" s="419" t="str">
        <f t="shared" si="6"/>
        <v>Martin Kuusmann</v>
      </c>
      <c r="AI18" s="418" t="str">
        <f>IFERROR(INDEX(V!$R:$R,MATCH(AJ18,V!$L:$L,0)),"")</f>
        <v/>
      </c>
      <c r="AJ18" s="419" t="str">
        <f t="shared" si="7"/>
        <v/>
      </c>
      <c r="AK18" s="418" t="str">
        <f>IFERROR(INDEX(V!$R:$R,MATCH(AL18,V!$L:$L,0)),"")</f>
        <v/>
      </c>
      <c r="AL18" s="419" t="str">
        <f t="shared" si="8"/>
        <v/>
      </c>
      <c r="AM18" s="418" t="str">
        <f>IFERROR(INDEX(V!$R:$R,MATCH(AN18,V!$L:$L,0)),"")</f>
        <v/>
      </c>
      <c r="AN18" s="419" t="str">
        <f t="shared" si="9"/>
        <v/>
      </c>
      <c r="AO18" s="418" t="str">
        <f>IFERROR(INDEX(V!$R:$R,MATCH(AP18,V!$L:$L,0)),"")</f>
        <v/>
      </c>
      <c r="AP18" s="419" t="str">
        <f t="shared" si="10"/>
        <v/>
      </c>
    </row>
    <row r="19" spans="1:42" x14ac:dyDescent="0.2">
      <c r="A19" s="408">
        <v>13</v>
      </c>
      <c r="B19" s="421" t="s">
        <v>419</v>
      </c>
      <c r="C19" s="410">
        <v>12</v>
      </c>
      <c r="D19" s="411" t="s">
        <v>313</v>
      </c>
      <c r="E19" s="411">
        <v>10</v>
      </c>
      <c r="F19" s="412" t="s">
        <v>403</v>
      </c>
      <c r="G19" s="410">
        <v>3</v>
      </c>
      <c r="H19" s="411" t="s">
        <v>313</v>
      </c>
      <c r="I19" s="411">
        <v>13</v>
      </c>
      <c r="J19" s="412" t="s">
        <v>390</v>
      </c>
      <c r="K19" s="410">
        <v>10</v>
      </c>
      <c r="L19" s="411" t="s">
        <v>313</v>
      </c>
      <c r="M19" s="411">
        <v>13</v>
      </c>
      <c r="N19" s="412" t="s">
        <v>322</v>
      </c>
      <c r="O19" s="410">
        <v>11</v>
      </c>
      <c r="P19" s="411" t="s">
        <v>313</v>
      </c>
      <c r="Q19" s="411">
        <v>13</v>
      </c>
      <c r="R19" s="412" t="s">
        <v>421</v>
      </c>
      <c r="S19" s="410">
        <v>1</v>
      </c>
      <c r="T19" s="411" t="s">
        <v>313</v>
      </c>
      <c r="U19" s="411">
        <v>13</v>
      </c>
      <c r="V19" s="412" t="s">
        <v>424</v>
      </c>
      <c r="W19" s="413">
        <f t="shared" si="0"/>
        <v>1</v>
      </c>
      <c r="X19" s="414">
        <v>30</v>
      </c>
      <c r="Y19" s="414">
        <v>106</v>
      </c>
      <c r="Z19" s="410">
        <f t="shared" si="1"/>
        <v>37</v>
      </c>
      <c r="AA19" s="411" t="s">
        <v>313</v>
      </c>
      <c r="AB19" s="415">
        <f t="shared" si="2"/>
        <v>62</v>
      </c>
      <c r="AC19" s="416">
        <f t="shared" si="3"/>
        <v>-25</v>
      </c>
      <c r="AD19" s="417">
        <f t="shared" si="13"/>
        <v>184</v>
      </c>
      <c r="AE19" s="418">
        <f>IFERROR(INDEX(V!$R:$R,MATCH(AF19,V!$L:$L,0)),"")</f>
        <v>54</v>
      </c>
      <c r="AF19" s="419" t="str">
        <f t="shared" si="5"/>
        <v>Hillar Neiland</v>
      </c>
      <c r="AG19" s="418">
        <f>IFERROR(INDEX(V!$R:$R,MATCH(AH19,V!$L:$L,0)),"")</f>
        <v>130</v>
      </c>
      <c r="AH19" s="419" t="str">
        <f t="shared" si="6"/>
        <v>Kaspar Mänd</v>
      </c>
      <c r="AI19" s="418" t="str">
        <f>IFERROR(INDEX(V!$R:$R,MATCH(AJ19,V!$L:$L,0)),"")</f>
        <v/>
      </c>
      <c r="AJ19" s="419" t="str">
        <f t="shared" si="7"/>
        <v/>
      </c>
      <c r="AK19" s="418" t="str">
        <f>IFERROR(INDEX(V!$R:$R,MATCH(AL19,V!$L:$L,0)),"")</f>
        <v/>
      </c>
      <c r="AL19" s="419" t="str">
        <f t="shared" si="8"/>
        <v/>
      </c>
      <c r="AM19" s="418" t="str">
        <f>IFERROR(INDEX(V!$R:$R,MATCH(AN19,V!$L:$L,0)),"")</f>
        <v/>
      </c>
      <c r="AN19" s="419" t="str">
        <f t="shared" si="9"/>
        <v/>
      </c>
      <c r="AO19" s="418" t="str">
        <f>IFERROR(INDEX(V!$R:$R,MATCH(AP19,V!$L:$L,0)),"")</f>
        <v/>
      </c>
      <c r="AP19" s="419" t="str">
        <f t="shared" si="10"/>
        <v/>
      </c>
    </row>
    <row r="20" spans="1:42" x14ac:dyDescent="0.2">
      <c r="A20" s="408">
        <v>14</v>
      </c>
      <c r="B20" s="421" t="s">
        <v>422</v>
      </c>
      <c r="C20" s="410">
        <v>6</v>
      </c>
      <c r="D20" s="411" t="s">
        <v>313</v>
      </c>
      <c r="E20" s="411">
        <v>13</v>
      </c>
      <c r="F20" s="412" t="s">
        <v>323</v>
      </c>
      <c r="G20" s="410">
        <v>5</v>
      </c>
      <c r="H20" s="411" t="s">
        <v>313</v>
      </c>
      <c r="I20" s="411">
        <v>13</v>
      </c>
      <c r="J20" s="412" t="s">
        <v>423</v>
      </c>
      <c r="K20" s="410">
        <v>2</v>
      </c>
      <c r="L20" s="411" t="s">
        <v>313</v>
      </c>
      <c r="M20" s="411">
        <v>13</v>
      </c>
      <c r="N20" s="412" t="s">
        <v>421</v>
      </c>
      <c r="O20" s="410">
        <v>9</v>
      </c>
      <c r="P20" s="411" t="s">
        <v>313</v>
      </c>
      <c r="Q20" s="411">
        <v>13</v>
      </c>
      <c r="R20" s="412" t="s">
        <v>424</v>
      </c>
      <c r="S20" s="410">
        <v>6</v>
      </c>
      <c r="T20" s="411" t="s">
        <v>313</v>
      </c>
      <c r="U20" s="411">
        <v>13</v>
      </c>
      <c r="V20" s="412" t="s">
        <v>394</v>
      </c>
      <c r="W20" s="413">
        <f t="shared" ref="W20" si="14">IF(C20&gt;E20,W$2,IF(C20&lt;E20,W$4,IF(ISNUMBER(C20),W$3,0)))+IF(G20&gt;I20,W$2,IF(G20&lt;I20,W$4,IF(ISNUMBER(G20),W$3,0)))+IF(K20&gt;M20,W$2,IF(K20&lt;M20,W$4,IF(ISNUMBER(K20),W$3,0)))+IF(O20&gt;Q20,W$2,IF(O20&lt;Q20,W$4,IF(ISNUMBER(O20),W$3,0)))+IF(S20&gt;U20,W$2,IF(S20&lt;U20,W$4,IF(ISNUMBER(S20),W$3,0)))</f>
        <v>0</v>
      </c>
      <c r="X20" s="414">
        <v>26</v>
      </c>
      <c r="Y20" s="414">
        <v>102</v>
      </c>
      <c r="Z20" s="410">
        <f t="shared" ref="Z20" si="15">C20+G20+K20+O20+S20</f>
        <v>28</v>
      </c>
      <c r="AA20" s="411" t="s">
        <v>313</v>
      </c>
      <c r="AB20" s="415">
        <f t="shared" ref="AB20" si="16">E20+I20+M20+Q20+U20</f>
        <v>65</v>
      </c>
      <c r="AC20" s="416">
        <f t="shared" ref="AC20" si="17">Z20-AB20</f>
        <v>-37</v>
      </c>
      <c r="AD20" s="417">
        <f t="shared" ref="AD20" si="18">SUM(AE20:AL20)</f>
        <v>12</v>
      </c>
      <c r="AE20" s="418">
        <f>IFERROR(INDEX(V!$R:$R,MATCH(AF20,V!$L:$L,0)),"")</f>
        <v>10</v>
      </c>
      <c r="AF20" s="419" t="str">
        <f t="shared" si="5"/>
        <v>Illar Tõnurist</v>
      </c>
      <c r="AG20" s="418">
        <f>IFERROR(INDEX(V!$R:$R,MATCH(AH20,V!$L:$L,0)),"")</f>
        <v>2</v>
      </c>
      <c r="AH20" s="419" t="str">
        <f t="shared" si="6"/>
        <v>Tarmo Bombe</v>
      </c>
      <c r="AI20" s="418" t="str">
        <f>IFERROR(INDEX(V!$R:$R,MATCH(AJ20,V!$L:$L,0)),"")</f>
        <v/>
      </c>
      <c r="AJ20" s="419" t="str">
        <f t="shared" si="7"/>
        <v/>
      </c>
      <c r="AK20" s="418" t="str">
        <f>IFERROR(INDEX(V!$R:$R,MATCH(AL20,V!$L:$L,0)),"")</f>
        <v/>
      </c>
      <c r="AL20" s="419" t="str">
        <f t="shared" si="8"/>
        <v/>
      </c>
      <c r="AM20" s="418" t="str">
        <f>IFERROR(INDEX(V!$R:$R,MATCH(AN20,V!$L:$L,0)),"")</f>
        <v/>
      </c>
      <c r="AN20" s="419" t="str">
        <f t="shared" si="9"/>
        <v/>
      </c>
      <c r="AO20" s="418" t="str">
        <f>IFERROR(INDEX(V!$R:$R,MATCH(AP20,V!$L:$L,0)),"")</f>
        <v/>
      </c>
      <c r="AP20" s="419" t="str">
        <f t="shared" si="10"/>
        <v/>
      </c>
    </row>
    <row r="22" spans="1:42" hidden="1" x14ac:dyDescent="0.2"/>
    <row r="23" spans="1:42" hidden="1" x14ac:dyDescent="0.2"/>
    <row r="24" spans="1:42" hidden="1" x14ac:dyDescent="0.2"/>
    <row r="25" spans="1:42" hidden="1" x14ac:dyDescent="0.2"/>
    <row r="26" spans="1:42" hidden="1" x14ac:dyDescent="0.2"/>
    <row r="27" spans="1:42" hidden="1" x14ac:dyDescent="0.2"/>
    <row r="28" spans="1:42" hidden="1" x14ac:dyDescent="0.2"/>
    <row r="29" spans="1:42" hidden="1" x14ac:dyDescent="0.2"/>
    <row r="30" spans="1:42" hidden="1" x14ac:dyDescent="0.2"/>
    <row r="31" spans="1:42" hidden="1" x14ac:dyDescent="0.2"/>
    <row r="32" spans="1:4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6" hidden="1" x14ac:dyDescent="0.2"/>
    <row r="290" spans="1:6" hidden="1" x14ac:dyDescent="0.2"/>
    <row r="291" spans="1:6" hidden="1" x14ac:dyDescent="0.2"/>
    <row r="292" spans="1:6" hidden="1" x14ac:dyDescent="0.2"/>
    <row r="293" spans="1:6" hidden="1" x14ac:dyDescent="0.2"/>
    <row r="294" spans="1:6" hidden="1" x14ac:dyDescent="0.2"/>
    <row r="295" spans="1:6" hidden="1" x14ac:dyDescent="0.2"/>
    <row r="296" spans="1:6" hidden="1" x14ac:dyDescent="0.2"/>
    <row r="297" spans="1:6" hidden="1" x14ac:dyDescent="0.2"/>
    <row r="298" spans="1:6" hidden="1" x14ac:dyDescent="0.2"/>
    <row r="299" spans="1:6" x14ac:dyDescent="0.2">
      <c r="A299" s="378"/>
      <c r="B299" s="378"/>
      <c r="C299" s="423"/>
      <c r="F299" s="424"/>
    </row>
    <row r="300" spans="1:6" x14ac:dyDescent="0.2">
      <c r="A300" s="425">
        <v>1</v>
      </c>
      <c r="B300" s="426" t="str">
        <f t="shared" ref="B300:B312" si="19">IFERROR(INDEX(B$1:B$95,MATCH(A300,A$1:A$95,0)),"")</f>
        <v>Jaan Sepp, Oskar Sepp</v>
      </c>
      <c r="C300" s="427"/>
      <c r="F300" s="424"/>
    </row>
    <row r="301" spans="1:6" x14ac:dyDescent="0.2">
      <c r="A301" s="425">
        <v>2</v>
      </c>
      <c r="B301" s="426" t="str">
        <f t="shared" si="19"/>
        <v>Ivar Viljaste, Matti Vinni</v>
      </c>
      <c r="C301" s="427"/>
      <c r="F301" s="424"/>
    </row>
    <row r="302" spans="1:6" x14ac:dyDescent="0.2">
      <c r="A302" s="425">
        <v>3</v>
      </c>
      <c r="B302" s="426" t="str">
        <f t="shared" si="19"/>
        <v>Kenneth Muusikus, Sander Rose</v>
      </c>
      <c r="C302" s="427"/>
      <c r="F302" s="424"/>
    </row>
    <row r="303" spans="1:6" x14ac:dyDescent="0.2">
      <c r="A303" s="425">
        <v>4</v>
      </c>
      <c r="B303" s="426" t="str">
        <f t="shared" si="19"/>
        <v>Lemmit Toomra, Tõnu Kapper</v>
      </c>
      <c r="C303" s="427"/>
      <c r="F303" s="424"/>
    </row>
    <row r="304" spans="1:6" x14ac:dyDescent="0.2">
      <c r="A304" s="425">
        <v>5</v>
      </c>
      <c r="B304" s="426" t="str">
        <f t="shared" si="19"/>
        <v>Johannes Neiland, Urmas Randlaine</v>
      </c>
      <c r="C304" s="427"/>
      <c r="F304" s="424"/>
    </row>
    <row r="305" spans="1:6" x14ac:dyDescent="0.2">
      <c r="A305" s="425">
        <v>6</v>
      </c>
      <c r="B305" s="426" t="str">
        <f t="shared" si="19"/>
        <v>Olav Türk, Sirje Maala</v>
      </c>
      <c r="C305" s="427"/>
      <c r="F305" s="424"/>
    </row>
    <row r="306" spans="1:6" x14ac:dyDescent="0.2">
      <c r="A306" s="425">
        <v>7</v>
      </c>
      <c r="B306" s="426" t="str">
        <f t="shared" si="19"/>
        <v>Daniil Alekankin, Sergei Lošajets</v>
      </c>
      <c r="C306" s="427"/>
      <c r="F306" s="424"/>
    </row>
    <row r="307" spans="1:6" x14ac:dyDescent="0.2">
      <c r="A307" s="425">
        <v>8</v>
      </c>
      <c r="B307" s="426" t="str">
        <f t="shared" si="19"/>
        <v>Kristel Tihhonjuk, Vadim Tihhonjuk</v>
      </c>
      <c r="C307" s="427"/>
      <c r="F307" s="424"/>
    </row>
    <row r="308" spans="1:6" x14ac:dyDescent="0.2">
      <c r="A308" s="425">
        <v>9</v>
      </c>
      <c r="B308" s="426" t="str">
        <f t="shared" si="19"/>
        <v>Andrei Grintšak, Enn Tokman</v>
      </c>
      <c r="C308" s="427"/>
      <c r="F308" s="424"/>
    </row>
    <row r="309" spans="1:6" x14ac:dyDescent="0.2">
      <c r="A309" s="425">
        <v>10</v>
      </c>
      <c r="B309" s="426" t="str">
        <f t="shared" si="19"/>
        <v>Boriss Klubov, Elmo Lageda</v>
      </c>
      <c r="C309" s="427"/>
    </row>
    <row r="310" spans="1:6" x14ac:dyDescent="0.2">
      <c r="A310" s="425">
        <v>11</v>
      </c>
      <c r="B310" s="426" t="str">
        <f t="shared" si="19"/>
        <v>Liidia Põllu, Veronika Pirk</v>
      </c>
      <c r="C310" s="427"/>
    </row>
    <row r="311" spans="1:6" x14ac:dyDescent="0.2">
      <c r="A311" s="425">
        <v>12</v>
      </c>
      <c r="B311" s="426" t="str">
        <f t="shared" si="19"/>
        <v>Marko Rooden, Martin Kuusmann</v>
      </c>
      <c r="C311" s="427"/>
    </row>
    <row r="312" spans="1:6" x14ac:dyDescent="0.2">
      <c r="A312" s="425">
        <v>13</v>
      </c>
      <c r="B312" s="426" t="str">
        <f t="shared" si="19"/>
        <v>Hillar Neiland, Kaspar Mänd</v>
      </c>
      <c r="C312" s="427"/>
    </row>
    <row r="313" spans="1:6" x14ac:dyDescent="0.2">
      <c r="A313" s="425">
        <v>14</v>
      </c>
      <c r="B313" s="426" t="str">
        <f t="shared" ref="B313" si="20">IFERROR(INDEX(B$1:B$95,MATCH(A313,A$1:A$95,0)),"")</f>
        <v>Illar Tõnurist, Tarmo Bombe</v>
      </c>
      <c r="C313" s="427"/>
    </row>
  </sheetData>
  <conditionalFormatting sqref="AJ7:AJ20 AH7:AH20 AL7:AL20">
    <cfRule type="expression" dxfId="133" priority="36">
      <formula>AND(AG7="",FIND(",",AH7))</formula>
    </cfRule>
    <cfRule type="expression" dxfId="132" priority="38">
      <formula>AND(AG7="",COUNTIF(AH7,"*,*")=0)</formula>
    </cfRule>
  </conditionalFormatting>
  <conditionalFormatting sqref="AF7:AF20">
    <cfRule type="expression" dxfId="131" priority="37">
      <formula>AND(AE7="",COUNTIF(AF7,"*,*")=0)</formula>
    </cfRule>
  </conditionalFormatting>
  <conditionalFormatting sqref="AN7:AN20 AP7:AP20">
    <cfRule type="expression" dxfId="130" priority="34">
      <formula>AND(AM7="",COUNTIF(AN7,"*,*")=0)</formula>
    </cfRule>
    <cfRule type="expression" dxfId="129" priority="35">
      <formula>AND(AM7="",FIND(",",AN7))</formula>
    </cfRule>
  </conditionalFormatting>
  <conditionalFormatting sqref="B300:B313">
    <cfRule type="expression" dxfId="128" priority="39">
      <formula>A300=3</formula>
    </cfRule>
    <cfRule type="expression" dxfId="127" priority="40">
      <formula>A300=2</formula>
    </cfRule>
    <cfRule type="expression" dxfId="126" priority="41">
      <formula>A300=1</formula>
    </cfRule>
    <cfRule type="containsBlanks" dxfId="125" priority="42">
      <formula>LEN(TRIM(B300))=0</formula>
    </cfRule>
    <cfRule type="duplicateValues" dxfId="124" priority="43"/>
  </conditionalFormatting>
  <conditionalFormatting sqref="A7:A20">
    <cfRule type="duplicateValues" dxfId="123" priority="33"/>
  </conditionalFormatting>
  <conditionalFormatting sqref="C7:C20">
    <cfRule type="expression" dxfId="122" priority="15">
      <formula>IF($C7&gt;$E7,TRUE)</formula>
    </cfRule>
  </conditionalFormatting>
  <conditionalFormatting sqref="E7:E20">
    <cfRule type="expression" dxfId="121" priority="16">
      <formula>IF($C7&lt;$E7,TRUE)</formula>
    </cfRule>
  </conditionalFormatting>
  <conditionalFormatting sqref="K7:K20">
    <cfRule type="expression" dxfId="120" priority="23">
      <formula>IF($K7&gt;$M7,TRUE)</formula>
    </cfRule>
  </conditionalFormatting>
  <conditionalFormatting sqref="M7:M20">
    <cfRule type="expression" dxfId="119" priority="24">
      <formula>IF($K7&lt;$M7,TRUE)</formula>
    </cfRule>
  </conditionalFormatting>
  <conditionalFormatting sqref="O7:O20">
    <cfRule type="expression" dxfId="118" priority="27">
      <formula>IF($O7&gt;$Q7,TRUE)</formula>
    </cfRule>
  </conditionalFormatting>
  <conditionalFormatting sqref="Q7:Q20">
    <cfRule type="expression" dxfId="117" priority="28">
      <formula>IF($O7&lt;$Q7,TRUE)</formula>
    </cfRule>
  </conditionalFormatting>
  <conditionalFormatting sqref="S7:S20">
    <cfRule type="expression" dxfId="116" priority="31">
      <formula>IF($S7&gt;$U7,TRUE)</formula>
    </cfRule>
  </conditionalFormatting>
  <conditionalFormatting sqref="U7:U20">
    <cfRule type="expression" dxfId="115" priority="32">
      <formula>IF($S7&lt;$U7,TRUE)</formula>
    </cfRule>
  </conditionalFormatting>
  <conditionalFormatting sqref="G7:G20">
    <cfRule type="expression" dxfId="114" priority="19">
      <formula>IF($G7&gt;$I7,TRUE)</formula>
    </cfRule>
  </conditionalFormatting>
  <conditionalFormatting sqref="I7:I20">
    <cfRule type="expression" dxfId="113" priority="20">
      <formula>IF($G7&lt;$I7,TRUE)</formula>
    </cfRule>
  </conditionalFormatting>
  <conditionalFormatting sqref="F7:F20">
    <cfRule type="containsText" dxfId="112" priority="6" operator="containsText" text="vaba voor">
      <formula>NOT(ISERROR(SEARCH("vaba voor",F7)))</formula>
    </cfRule>
  </conditionalFormatting>
  <conditionalFormatting sqref="N7:N20">
    <cfRule type="containsText" dxfId="111" priority="4" operator="containsText" text="vaba voor">
      <formula>NOT(ISERROR(SEARCH("vaba voor",N7)))</formula>
    </cfRule>
  </conditionalFormatting>
  <conditionalFormatting sqref="R7:R20">
    <cfRule type="containsText" dxfId="110" priority="7" operator="containsText" text="vaba voor">
      <formula>NOT(ISERROR(SEARCH("vaba voor",R7)))</formula>
    </cfRule>
  </conditionalFormatting>
  <conditionalFormatting sqref="V7:V20">
    <cfRule type="containsText" dxfId="109" priority="3" operator="containsText" text="vaba voor">
      <formula>NOT(ISERROR(SEARCH("vaba voor",V7)))</formula>
    </cfRule>
  </conditionalFormatting>
  <conditionalFormatting sqref="J7:J20">
    <cfRule type="containsText" dxfId="108" priority="5" operator="containsText" text="vaba voor">
      <formula>NOT(ISERROR(SEARCH("vaba voor",J7)))</formula>
    </cfRule>
  </conditionalFormatting>
  <conditionalFormatting sqref="C7:F20">
    <cfRule type="expression" dxfId="107" priority="11">
      <formula>IF(AND(ISNUMBER($C7),$C7=$E7),TRUE)</formula>
    </cfRule>
    <cfRule type="expression" dxfId="106" priority="13">
      <formula>IF($C7&gt;$E7,TRUE)</formula>
    </cfRule>
    <cfRule type="expression" dxfId="105" priority="14">
      <formula>IF($C7&lt;$E7,TRUE)</formula>
    </cfRule>
  </conditionalFormatting>
  <conditionalFormatting sqref="G7:J20">
    <cfRule type="expression" dxfId="104" priority="12">
      <formula>IF(AND(ISNUMBER($G7),$G7=$I7),TRUE)</formula>
    </cfRule>
    <cfRule type="expression" dxfId="103" priority="17">
      <formula>IF($G7&gt;$I7,TRUE)</formula>
    </cfRule>
    <cfRule type="expression" dxfId="102" priority="18">
      <formula>IF($G7&lt;$I7,TRUE)</formula>
    </cfRule>
  </conditionalFormatting>
  <conditionalFormatting sqref="K7:N20">
    <cfRule type="expression" dxfId="101" priority="10">
      <formula>IF(AND(ISNUMBER($K7),$K7=$M7),TRUE)</formula>
    </cfRule>
    <cfRule type="expression" dxfId="100" priority="21">
      <formula>IF($K7&gt;$M7,TRUE)</formula>
    </cfRule>
    <cfRule type="expression" dxfId="99" priority="22">
      <formula>IF($K7&lt;$M7,TRUE)</formula>
    </cfRule>
  </conditionalFormatting>
  <conditionalFormatting sqref="O7:R20">
    <cfRule type="expression" dxfId="98" priority="9">
      <formula>IF(AND(ISNUMBER($O7),$O7=$Q7),TRUE)</formula>
    </cfRule>
    <cfRule type="expression" dxfId="97" priority="25">
      <formula>IF($O7&gt;$Q7,TRUE)</formula>
    </cfRule>
    <cfRule type="expression" dxfId="96" priority="26">
      <formula>IF($O7&lt;$Q7,TRUE)</formula>
    </cfRule>
  </conditionalFormatting>
  <conditionalFormatting sqref="S7:V20">
    <cfRule type="expression" dxfId="95" priority="8">
      <formula>IF(AND(ISNUMBER($S7),$S7=$U7),TRUE)</formula>
    </cfRule>
    <cfRule type="expression" dxfId="94" priority="29">
      <formula>IF($S7&gt;$U7,TRUE)</formula>
    </cfRule>
    <cfRule type="expression" dxfId="93" priority="30">
      <formula>IF($S7&lt;$U7,TRUE)</formula>
    </cfRule>
  </conditionalFormatting>
  <conditionalFormatting sqref="C7:C20 G7:G20 K7:K20 O7:O20 S7:S20">
    <cfRule type="expression" dxfId="92" priority="1">
      <formula>AND(C7=0,E7=13)</formula>
    </cfRule>
  </conditionalFormatting>
  <conditionalFormatting sqref="E7:E20 I7:I20 M7:M20 Q7:Q20 U7:U20">
    <cfRule type="expression" dxfId="91" priority="2">
      <formula>AND(E7=0,C7=13)</formula>
    </cfRule>
  </conditionalFormatting>
  <pageMargins left="0.39370078740157483" right="0.39370078740157483" top="0.78740157480314965" bottom="0.39370078740157483" header="0.78740157480314965" footer="0"/>
  <pageSetup paperSize="9" fitToHeight="0" orientation="landscape" verticalDpi="1200" r:id="rId1"/>
  <headerFooter>
    <oddHeader>&amp;R&amp;P. leht &amp;N&amp; -st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J319"/>
  <sheetViews>
    <sheetView showGridLines="0" showRowColHeaders="0" workbookViewId="0">
      <pane ySplit="1" topLeftCell="A2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1" width="3.28515625" style="377" customWidth="1"/>
    <col min="2" max="2" width="17" style="377" bestFit="1" customWidth="1"/>
    <col min="3" max="3" width="4.7109375" style="377" customWidth="1"/>
    <col min="4" max="4" width="1.140625" style="377" customWidth="1"/>
    <col min="5" max="5" width="2.7109375" style="377" customWidth="1"/>
    <col min="6" max="6" width="9.140625" style="377"/>
    <col min="7" max="7" width="2.7109375" style="377" customWidth="1"/>
    <col min="8" max="8" width="1.140625" style="377" customWidth="1"/>
    <col min="9" max="9" width="2.7109375" style="377" customWidth="1"/>
    <col min="10" max="10" width="9.140625" style="377"/>
    <col min="11" max="11" width="2.7109375" style="377" customWidth="1"/>
    <col min="12" max="12" width="1.140625" style="377" customWidth="1"/>
    <col min="13" max="13" width="2.7109375" style="377" customWidth="1"/>
    <col min="14" max="14" width="9.140625" style="377"/>
    <col min="15" max="15" width="2.7109375" style="377" customWidth="1"/>
    <col min="16" max="16" width="1.140625" style="377" customWidth="1"/>
    <col min="17" max="17" width="2.7109375" style="377" customWidth="1"/>
    <col min="18" max="18" width="9.140625" style="377"/>
    <col min="19" max="19" width="2.7109375" style="377" customWidth="1"/>
    <col min="20" max="20" width="1.140625" style="377" customWidth="1"/>
    <col min="21" max="21" width="2.7109375" style="377" customWidth="1"/>
    <col min="22" max="22" width="9.140625" style="377" customWidth="1"/>
    <col min="23" max="23" width="2.7109375" style="377" customWidth="1"/>
    <col min="24" max="24" width="1.140625" style="377" customWidth="1"/>
    <col min="25" max="25" width="2.7109375" style="377" customWidth="1"/>
    <col min="26" max="26" width="9.140625" style="377" customWidth="1"/>
    <col min="27" max="27" width="5.7109375" style="377" bestFit="1" customWidth="1"/>
    <col min="28" max="28" width="5.7109375" style="377" customWidth="1"/>
    <col min="29" max="29" width="6.85546875" style="377" customWidth="1"/>
    <col min="30" max="30" width="2.7109375" style="377" customWidth="1"/>
    <col min="31" max="31" width="1.140625" style="377" customWidth="1"/>
    <col min="32" max="32" width="2.7109375" style="377" customWidth="1"/>
    <col min="33" max="33" width="3.5703125" style="377" bestFit="1" customWidth="1"/>
    <col min="34" max="34" width="0" style="377" hidden="1" customWidth="1"/>
    <col min="35" max="35" width="17" style="377" hidden="1" customWidth="1"/>
    <col min="36" max="36" width="0" style="377" hidden="1" customWidth="1"/>
    <col min="37" max="16384" width="9.140625" style="377"/>
  </cols>
  <sheetData>
    <row r="1" spans="1:36" x14ac:dyDescent="0.2">
      <c r="A1" s="376" t="str">
        <f>UPPER((Kalend!E36)&amp;" - "&amp;(Kalend!C36))&amp;" - "&amp;LOWER(Kalend!D36)&amp;" - "&amp;(Kalend!A36)&amp;" kell "&amp;(Kalend!B36)&amp;" - "&amp;(Kalend!F36)</f>
        <v>TMV-Ü - TOILA VALLA LAHTISED MV - üksik - L, 16.09.2023 kell 11:00 - Voka staadion</v>
      </c>
      <c r="O1" s="378"/>
      <c r="P1" s="378"/>
      <c r="Q1" s="379"/>
      <c r="R1" s="379"/>
      <c r="S1" s="379"/>
      <c r="T1" s="380"/>
      <c r="U1" s="380"/>
      <c r="V1" s="380"/>
      <c r="W1" s="378"/>
      <c r="X1" s="381"/>
      <c r="Y1" s="378"/>
      <c r="Z1" s="378"/>
      <c r="AA1" s="378"/>
      <c r="AH1" s="382" t="s">
        <v>133</v>
      </c>
      <c r="AI1" s="383"/>
      <c r="AJ1" s="383"/>
    </row>
    <row r="2" spans="1:36" x14ac:dyDescent="0.2">
      <c r="A2" s="385"/>
      <c r="F2" s="378"/>
      <c r="L2" s="386"/>
      <c r="M2" s="386"/>
      <c r="N2" s="386"/>
      <c r="O2" s="378"/>
      <c r="P2" s="378"/>
      <c r="Q2" s="378"/>
      <c r="S2" s="378"/>
      <c r="T2" s="386"/>
      <c r="U2" s="386"/>
      <c r="V2" s="386"/>
      <c r="Z2" s="387" t="s">
        <v>292</v>
      </c>
      <c r="AA2" s="388">
        <v>1</v>
      </c>
      <c r="AB2" s="389" t="s">
        <v>293</v>
      </c>
      <c r="AC2" s="378"/>
      <c r="AD2" s="378"/>
      <c r="AE2" s="378"/>
      <c r="AF2" s="378"/>
      <c r="AI2" s="378"/>
    </row>
    <row r="3" spans="1:36" x14ac:dyDescent="0.2">
      <c r="A3" s="385"/>
      <c r="F3" s="378"/>
      <c r="L3" s="378"/>
      <c r="M3" s="378"/>
      <c r="N3" s="378"/>
      <c r="O3" s="378"/>
      <c r="P3" s="378"/>
      <c r="Q3" s="378"/>
      <c r="S3" s="378"/>
      <c r="T3" s="378"/>
      <c r="U3" s="378"/>
      <c r="V3" s="378"/>
      <c r="Z3" s="390" t="s">
        <v>294</v>
      </c>
      <c r="AA3" s="388">
        <v>0.5</v>
      </c>
      <c r="AB3" s="389" t="s">
        <v>293</v>
      </c>
      <c r="AC3" s="378"/>
      <c r="AD3" s="378"/>
      <c r="AE3" s="378"/>
      <c r="AF3" s="378"/>
      <c r="AI3" s="386"/>
      <c r="AJ3" s="386"/>
    </row>
    <row r="4" spans="1:36" x14ac:dyDescent="0.2">
      <c r="F4" s="378"/>
      <c r="L4" s="378"/>
      <c r="M4" s="378"/>
      <c r="N4" s="378"/>
      <c r="O4" s="378"/>
      <c r="P4" s="378"/>
      <c r="Q4" s="378"/>
      <c r="S4" s="378"/>
      <c r="T4" s="378"/>
      <c r="U4" s="378"/>
      <c r="V4" s="378"/>
      <c r="Z4" s="392" t="s">
        <v>295</v>
      </c>
      <c r="AA4" s="388">
        <v>0</v>
      </c>
      <c r="AB4" s="389" t="s">
        <v>293</v>
      </c>
      <c r="AC4" s="378"/>
      <c r="AD4" s="378"/>
      <c r="AE4" s="378"/>
      <c r="AF4" s="378"/>
    </row>
    <row r="5" spans="1:36" x14ac:dyDescent="0.2">
      <c r="F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Z5" s="378"/>
      <c r="AA5" s="378"/>
      <c r="AB5" s="378"/>
      <c r="AC5" s="378"/>
      <c r="AD5" s="378"/>
      <c r="AE5" s="378"/>
      <c r="AF5" s="393" t="s">
        <v>296</v>
      </c>
      <c r="AH5" s="394" t="s">
        <v>297</v>
      </c>
    </row>
    <row r="6" spans="1:36" x14ac:dyDescent="0.2">
      <c r="A6" s="395" t="s">
        <v>157</v>
      </c>
      <c r="B6" s="395" t="s">
        <v>156</v>
      </c>
      <c r="C6" s="396" t="s">
        <v>298</v>
      </c>
      <c r="D6" s="397"/>
      <c r="E6" s="397"/>
      <c r="F6" s="398"/>
      <c r="G6" s="396" t="s">
        <v>299</v>
      </c>
      <c r="H6" s="397"/>
      <c r="I6" s="397"/>
      <c r="J6" s="398"/>
      <c r="K6" s="396" t="s">
        <v>300</v>
      </c>
      <c r="L6" s="397"/>
      <c r="M6" s="397"/>
      <c r="N6" s="398"/>
      <c r="O6" s="396" t="s">
        <v>301</v>
      </c>
      <c r="P6" s="397"/>
      <c r="Q6" s="397"/>
      <c r="R6" s="398"/>
      <c r="S6" s="396" t="s">
        <v>302</v>
      </c>
      <c r="T6" s="397"/>
      <c r="U6" s="397"/>
      <c r="V6" s="398"/>
      <c r="W6" s="396" t="s">
        <v>460</v>
      </c>
      <c r="X6" s="397"/>
      <c r="Y6" s="397"/>
      <c r="Z6" s="398"/>
      <c r="AA6" s="617" t="s">
        <v>142</v>
      </c>
      <c r="AB6" s="395" t="s">
        <v>303</v>
      </c>
      <c r="AC6" s="395" t="s">
        <v>304</v>
      </c>
      <c r="AD6" s="395"/>
      <c r="AE6" s="400" t="s">
        <v>305</v>
      </c>
      <c r="AF6" s="401"/>
      <c r="AG6" s="402" t="s">
        <v>306</v>
      </c>
      <c r="AH6" s="403" t="s">
        <v>131</v>
      </c>
      <c r="AI6" s="404" t="s">
        <v>156</v>
      </c>
      <c r="AJ6" s="404"/>
    </row>
    <row r="7" spans="1:36" x14ac:dyDescent="0.2">
      <c r="A7" s="408">
        <v>1</v>
      </c>
      <c r="B7" s="409" t="s">
        <v>182</v>
      </c>
      <c r="C7" s="410">
        <v>13</v>
      </c>
      <c r="D7" s="411" t="s">
        <v>313</v>
      </c>
      <c r="E7" s="411">
        <v>3</v>
      </c>
      <c r="F7" s="412" t="s">
        <v>192</v>
      </c>
      <c r="G7" s="410">
        <v>9</v>
      </c>
      <c r="H7" s="411" t="s">
        <v>313</v>
      </c>
      <c r="I7" s="411">
        <v>13</v>
      </c>
      <c r="J7" s="412" t="s">
        <v>175</v>
      </c>
      <c r="K7" s="410">
        <v>13</v>
      </c>
      <c r="L7" s="411" t="s">
        <v>313</v>
      </c>
      <c r="M7" s="411">
        <v>8</v>
      </c>
      <c r="N7" s="412" t="s">
        <v>184</v>
      </c>
      <c r="O7" s="410">
        <v>13</v>
      </c>
      <c r="P7" s="411" t="s">
        <v>313</v>
      </c>
      <c r="Q7" s="411">
        <v>3</v>
      </c>
      <c r="R7" s="412" t="s">
        <v>285</v>
      </c>
      <c r="S7" s="410">
        <v>13</v>
      </c>
      <c r="T7" s="411" t="s">
        <v>313</v>
      </c>
      <c r="U7" s="411">
        <v>4</v>
      </c>
      <c r="V7" s="412" t="s">
        <v>167</v>
      </c>
      <c r="W7" s="410">
        <v>13</v>
      </c>
      <c r="X7" s="411" t="s">
        <v>313</v>
      </c>
      <c r="Y7" s="411">
        <v>11</v>
      </c>
      <c r="Z7" s="412" t="s">
        <v>171</v>
      </c>
      <c r="AA7" s="618">
        <v>5</v>
      </c>
      <c r="AB7" s="414">
        <v>40</v>
      </c>
      <c r="AC7" s="414">
        <v>76</v>
      </c>
      <c r="AD7" s="410">
        <f t="shared" ref="AD7:AD19" si="0">C7+G7+K7+O7+S7</f>
        <v>61</v>
      </c>
      <c r="AE7" s="411" t="s">
        <v>313</v>
      </c>
      <c r="AF7" s="415">
        <f t="shared" ref="AF7:AF19" si="1">E7+I7+M7+Q7+U7</f>
        <v>31</v>
      </c>
      <c r="AG7" s="416">
        <f t="shared" ref="AG7:AG19" si="2">AD7-AF7</f>
        <v>30</v>
      </c>
      <c r="AH7" s="417">
        <f>SUM(AI7:AJ7)</f>
        <v>38</v>
      </c>
      <c r="AI7" s="439" t="str">
        <f>$B7</f>
        <v>Tõnu Kapper</v>
      </c>
      <c r="AJ7" s="418">
        <f>IFERROR(INDEX(V!$R:$R,MATCH(AI7,V!$L:$L,0)),"")</f>
        <v>38</v>
      </c>
    </row>
    <row r="8" spans="1:36" x14ac:dyDescent="0.2">
      <c r="A8" s="408">
        <v>2</v>
      </c>
      <c r="B8" s="420" t="s">
        <v>171</v>
      </c>
      <c r="C8" s="410">
        <v>13</v>
      </c>
      <c r="D8" s="411" t="s">
        <v>313</v>
      </c>
      <c r="E8" s="411">
        <v>7</v>
      </c>
      <c r="F8" s="412" t="s">
        <v>173</v>
      </c>
      <c r="G8" s="410">
        <v>13</v>
      </c>
      <c r="H8" s="411" t="s">
        <v>313</v>
      </c>
      <c r="I8" s="411">
        <v>10</v>
      </c>
      <c r="J8" s="412" t="s">
        <v>184</v>
      </c>
      <c r="K8" s="410">
        <v>13</v>
      </c>
      <c r="L8" s="411" t="s">
        <v>313</v>
      </c>
      <c r="M8" s="411">
        <v>6</v>
      </c>
      <c r="N8" s="412" t="s">
        <v>175</v>
      </c>
      <c r="O8" s="410">
        <v>13</v>
      </c>
      <c r="P8" s="411" t="s">
        <v>313</v>
      </c>
      <c r="Q8" s="411">
        <v>9</v>
      </c>
      <c r="R8" s="412" t="s">
        <v>191</v>
      </c>
      <c r="S8" s="410">
        <v>13</v>
      </c>
      <c r="T8" s="411" t="s">
        <v>313</v>
      </c>
      <c r="U8" s="411">
        <v>2</v>
      </c>
      <c r="V8" s="412" t="s">
        <v>195</v>
      </c>
      <c r="W8" s="410">
        <v>11</v>
      </c>
      <c r="X8" s="411" t="s">
        <v>313</v>
      </c>
      <c r="Y8" s="411">
        <v>13</v>
      </c>
      <c r="Z8" s="412" t="s">
        <v>182</v>
      </c>
      <c r="AA8" s="618">
        <v>5</v>
      </c>
      <c r="AB8" s="414">
        <v>40</v>
      </c>
      <c r="AC8" s="414">
        <v>66</v>
      </c>
      <c r="AD8" s="410">
        <f t="shared" si="0"/>
        <v>65</v>
      </c>
      <c r="AE8" s="411" t="s">
        <v>313</v>
      </c>
      <c r="AF8" s="415">
        <f t="shared" si="1"/>
        <v>34</v>
      </c>
      <c r="AG8" s="416">
        <f t="shared" si="2"/>
        <v>31</v>
      </c>
      <c r="AH8" s="438">
        <f t="shared" ref="AH8" si="3">SUM(AJ8:AJ8)</f>
        <v>166</v>
      </c>
      <c r="AI8" s="439" t="str">
        <f t="shared" ref="AI8:AI26" si="4">$B8</f>
        <v>Oleg Rõndenkov</v>
      </c>
      <c r="AJ8" s="418">
        <f>IFERROR(INDEX(V!$R:$R,MATCH(AI8,V!$L:$L,0)),"")</f>
        <v>166</v>
      </c>
    </row>
    <row r="9" spans="1:36" x14ac:dyDescent="0.2">
      <c r="A9" s="408">
        <v>3</v>
      </c>
      <c r="B9" s="421" t="s">
        <v>175</v>
      </c>
      <c r="C9" s="410">
        <v>13</v>
      </c>
      <c r="D9" s="411" t="s">
        <v>313</v>
      </c>
      <c r="E9" s="411">
        <v>2</v>
      </c>
      <c r="F9" s="412" t="s">
        <v>285</v>
      </c>
      <c r="G9" s="410">
        <v>13</v>
      </c>
      <c r="H9" s="411" t="s">
        <v>313</v>
      </c>
      <c r="I9" s="411">
        <v>9</v>
      </c>
      <c r="J9" s="412" t="s">
        <v>182</v>
      </c>
      <c r="K9" s="410">
        <v>6</v>
      </c>
      <c r="L9" s="411" t="s">
        <v>313</v>
      </c>
      <c r="M9" s="411">
        <v>13</v>
      </c>
      <c r="N9" s="412" t="s">
        <v>171</v>
      </c>
      <c r="O9" s="410">
        <v>9</v>
      </c>
      <c r="P9" s="411" t="s">
        <v>313</v>
      </c>
      <c r="Q9" s="411">
        <v>13</v>
      </c>
      <c r="R9" s="412" t="s">
        <v>167</v>
      </c>
      <c r="S9" s="410">
        <v>13</v>
      </c>
      <c r="T9" s="411" t="s">
        <v>313</v>
      </c>
      <c r="U9" s="411">
        <v>8</v>
      </c>
      <c r="V9" s="412" t="s">
        <v>184</v>
      </c>
      <c r="W9" s="410">
        <v>13</v>
      </c>
      <c r="X9" s="411" t="s">
        <v>313</v>
      </c>
      <c r="Y9" s="411">
        <v>12</v>
      </c>
      <c r="Z9" s="412" t="s">
        <v>191</v>
      </c>
      <c r="AA9" s="618">
        <v>4</v>
      </c>
      <c r="AB9" s="414">
        <v>48</v>
      </c>
      <c r="AC9" s="414">
        <v>62</v>
      </c>
      <c r="AD9" s="410">
        <f t="shared" si="0"/>
        <v>54</v>
      </c>
      <c r="AE9" s="411" t="s">
        <v>313</v>
      </c>
      <c r="AF9" s="415">
        <f t="shared" si="1"/>
        <v>45</v>
      </c>
      <c r="AG9" s="416">
        <f t="shared" si="2"/>
        <v>9</v>
      </c>
      <c r="AH9" s="417">
        <f t="shared" ref="AH9:AH19" si="5">SUM(AI9:AJ9)</f>
        <v>102</v>
      </c>
      <c r="AI9" s="439" t="str">
        <f t="shared" si="4"/>
        <v>Svetlana Veski</v>
      </c>
      <c r="AJ9" s="418">
        <f>IFERROR(INDEX(V!$R:$R,MATCH(AI9,V!$L:$L,0)),"")</f>
        <v>102</v>
      </c>
    </row>
    <row r="10" spans="1:36" x14ac:dyDescent="0.2">
      <c r="A10" s="408">
        <v>4</v>
      </c>
      <c r="B10" s="421" t="s">
        <v>191</v>
      </c>
      <c r="C10" s="410">
        <v>13</v>
      </c>
      <c r="D10" s="411" t="s">
        <v>313</v>
      </c>
      <c r="E10" s="411">
        <v>3</v>
      </c>
      <c r="F10" s="412" t="s">
        <v>461</v>
      </c>
      <c r="G10" s="410">
        <v>13</v>
      </c>
      <c r="H10" s="411" t="s">
        <v>313</v>
      </c>
      <c r="I10" s="411">
        <v>4</v>
      </c>
      <c r="J10" s="412" t="s">
        <v>407</v>
      </c>
      <c r="K10" s="410">
        <v>13</v>
      </c>
      <c r="L10" s="411" t="s">
        <v>313</v>
      </c>
      <c r="M10" s="411">
        <v>6</v>
      </c>
      <c r="N10" s="412" t="s">
        <v>179</v>
      </c>
      <c r="O10" s="410">
        <v>9</v>
      </c>
      <c r="P10" s="411" t="s">
        <v>313</v>
      </c>
      <c r="Q10" s="411">
        <v>13</v>
      </c>
      <c r="R10" s="412" t="s">
        <v>171</v>
      </c>
      <c r="S10" s="410">
        <v>13</v>
      </c>
      <c r="T10" s="411" t="s">
        <v>313</v>
      </c>
      <c r="U10" s="411">
        <v>6</v>
      </c>
      <c r="V10" s="412" t="s">
        <v>194</v>
      </c>
      <c r="W10" s="410">
        <v>12</v>
      </c>
      <c r="X10" s="411" t="s">
        <v>313</v>
      </c>
      <c r="Y10" s="411">
        <v>13</v>
      </c>
      <c r="Z10" s="412" t="s">
        <v>175</v>
      </c>
      <c r="AA10" s="618">
        <v>4</v>
      </c>
      <c r="AB10" s="414">
        <v>44</v>
      </c>
      <c r="AC10" s="414">
        <v>78</v>
      </c>
      <c r="AD10" s="410">
        <f t="shared" si="0"/>
        <v>61</v>
      </c>
      <c r="AE10" s="411" t="s">
        <v>313</v>
      </c>
      <c r="AF10" s="415">
        <f t="shared" si="1"/>
        <v>32</v>
      </c>
      <c r="AG10" s="416">
        <f t="shared" si="2"/>
        <v>29</v>
      </c>
      <c r="AH10" s="417">
        <f t="shared" si="5"/>
        <v>154</v>
      </c>
      <c r="AI10" s="439" t="str">
        <f t="shared" si="4"/>
        <v>Vadim Tihhonjuk</v>
      </c>
      <c r="AJ10" s="418">
        <f>IFERROR(INDEX(V!$R:$R,MATCH(AI10,V!$L:$L,0)),"")</f>
        <v>154</v>
      </c>
    </row>
    <row r="11" spans="1:36" x14ac:dyDescent="0.2">
      <c r="A11" s="408">
        <v>5</v>
      </c>
      <c r="B11" s="420" t="s">
        <v>285</v>
      </c>
      <c r="C11" s="410">
        <v>2</v>
      </c>
      <c r="D11" s="411" t="s">
        <v>313</v>
      </c>
      <c r="E11" s="411">
        <v>13</v>
      </c>
      <c r="F11" s="412" t="s">
        <v>175</v>
      </c>
      <c r="G11" s="410">
        <v>13</v>
      </c>
      <c r="H11" s="411" t="s">
        <v>313</v>
      </c>
      <c r="I11" s="411">
        <v>8</v>
      </c>
      <c r="J11" s="412" t="s">
        <v>461</v>
      </c>
      <c r="K11" s="410">
        <v>13</v>
      </c>
      <c r="L11" s="411" t="s">
        <v>313</v>
      </c>
      <c r="M11" s="411">
        <v>7</v>
      </c>
      <c r="N11" s="412" t="s">
        <v>173</v>
      </c>
      <c r="O11" s="410">
        <v>3</v>
      </c>
      <c r="P11" s="411" t="s">
        <v>313</v>
      </c>
      <c r="Q11" s="411">
        <v>13</v>
      </c>
      <c r="R11" s="412" t="s">
        <v>182</v>
      </c>
      <c r="S11" s="410">
        <v>13</v>
      </c>
      <c r="T11" s="411" t="s">
        <v>313</v>
      </c>
      <c r="U11" s="411">
        <v>3</v>
      </c>
      <c r="V11" s="412" t="s">
        <v>407</v>
      </c>
      <c r="W11" s="410">
        <v>13</v>
      </c>
      <c r="X11" s="411" t="s">
        <v>313</v>
      </c>
      <c r="Y11" s="411">
        <v>3</v>
      </c>
      <c r="Z11" s="412" t="s">
        <v>195</v>
      </c>
      <c r="AA11" s="618">
        <v>4</v>
      </c>
      <c r="AB11" s="414">
        <v>42</v>
      </c>
      <c r="AC11" s="414">
        <v>58</v>
      </c>
      <c r="AD11" s="410">
        <f t="shared" si="0"/>
        <v>44</v>
      </c>
      <c r="AE11" s="411" t="s">
        <v>313</v>
      </c>
      <c r="AF11" s="415">
        <f t="shared" si="1"/>
        <v>44</v>
      </c>
      <c r="AG11" s="416">
        <f t="shared" si="2"/>
        <v>0</v>
      </c>
      <c r="AH11" s="417">
        <f t="shared" si="5"/>
        <v>38</v>
      </c>
      <c r="AI11" s="439" t="str">
        <f t="shared" si="4"/>
        <v>Jevgeni Korikov</v>
      </c>
      <c r="AJ11" s="418">
        <f>IFERROR(INDEX(V!$R:$R,MATCH(AI11,V!$L:$L,0)),"")</f>
        <v>38</v>
      </c>
    </row>
    <row r="12" spans="1:36" x14ac:dyDescent="0.2">
      <c r="A12" s="408">
        <v>6</v>
      </c>
      <c r="B12" s="421" t="s">
        <v>167</v>
      </c>
      <c r="C12" s="410">
        <v>13</v>
      </c>
      <c r="D12" s="411" t="s">
        <v>313</v>
      </c>
      <c r="E12" s="411">
        <v>9</v>
      </c>
      <c r="F12" s="412" t="s">
        <v>199</v>
      </c>
      <c r="G12" s="410">
        <v>10</v>
      </c>
      <c r="H12" s="411" t="s">
        <v>313</v>
      </c>
      <c r="I12" s="411">
        <v>13</v>
      </c>
      <c r="J12" s="412" t="s">
        <v>179</v>
      </c>
      <c r="K12" s="410">
        <v>13</v>
      </c>
      <c r="L12" s="411" t="s">
        <v>313</v>
      </c>
      <c r="M12" s="411">
        <v>4</v>
      </c>
      <c r="N12" s="412" t="s">
        <v>194</v>
      </c>
      <c r="O12" s="410">
        <v>13</v>
      </c>
      <c r="P12" s="411" t="s">
        <v>313</v>
      </c>
      <c r="Q12" s="411">
        <v>9</v>
      </c>
      <c r="R12" s="412" t="s">
        <v>175</v>
      </c>
      <c r="S12" s="410">
        <v>4</v>
      </c>
      <c r="T12" s="411" t="s">
        <v>313</v>
      </c>
      <c r="U12" s="411">
        <v>13</v>
      </c>
      <c r="V12" s="412" t="s">
        <v>182</v>
      </c>
      <c r="W12" s="410">
        <v>13</v>
      </c>
      <c r="X12" s="411" t="s">
        <v>313</v>
      </c>
      <c r="Y12" s="411">
        <v>3</v>
      </c>
      <c r="Z12" s="412" t="s">
        <v>193</v>
      </c>
      <c r="AA12" s="618">
        <v>4</v>
      </c>
      <c r="AB12" s="414">
        <v>40</v>
      </c>
      <c r="AC12" s="414">
        <v>68</v>
      </c>
      <c r="AD12" s="410">
        <f t="shared" si="0"/>
        <v>53</v>
      </c>
      <c r="AE12" s="411" t="s">
        <v>313</v>
      </c>
      <c r="AF12" s="415">
        <f t="shared" si="1"/>
        <v>48</v>
      </c>
      <c r="AG12" s="416">
        <f t="shared" si="2"/>
        <v>5</v>
      </c>
      <c r="AH12" s="417">
        <f t="shared" si="5"/>
        <v>166</v>
      </c>
      <c r="AI12" s="439" t="str">
        <f t="shared" si="4"/>
        <v>Sander Rose</v>
      </c>
      <c r="AJ12" s="418">
        <f>IFERROR(INDEX(V!$R:$R,MATCH(AI12,V!$L:$L,0)),"")</f>
        <v>166</v>
      </c>
    </row>
    <row r="13" spans="1:36" x14ac:dyDescent="0.2">
      <c r="A13" s="408">
        <v>7</v>
      </c>
      <c r="B13" s="422" t="s">
        <v>75</v>
      </c>
      <c r="C13" s="410">
        <v>3</v>
      </c>
      <c r="D13" s="411" t="s">
        <v>313</v>
      </c>
      <c r="E13" s="411">
        <v>13</v>
      </c>
      <c r="F13" s="412" t="s">
        <v>191</v>
      </c>
      <c r="G13" s="410">
        <v>8</v>
      </c>
      <c r="H13" s="411" t="s">
        <v>313</v>
      </c>
      <c r="I13" s="411">
        <v>13</v>
      </c>
      <c r="J13" s="412" t="s">
        <v>285</v>
      </c>
      <c r="K13" s="410">
        <v>13</v>
      </c>
      <c r="L13" s="411" t="s">
        <v>313</v>
      </c>
      <c r="M13" s="411">
        <v>6</v>
      </c>
      <c r="N13" s="412" t="s">
        <v>200</v>
      </c>
      <c r="O13" s="410">
        <v>13</v>
      </c>
      <c r="P13" s="411" t="s">
        <v>313</v>
      </c>
      <c r="Q13" s="411">
        <v>1</v>
      </c>
      <c r="R13" s="412" t="s">
        <v>199</v>
      </c>
      <c r="S13" s="410">
        <v>13</v>
      </c>
      <c r="T13" s="411" t="s">
        <v>313</v>
      </c>
      <c r="U13" s="411">
        <v>12</v>
      </c>
      <c r="V13" s="412" t="s">
        <v>174</v>
      </c>
      <c r="W13" s="410">
        <v>13</v>
      </c>
      <c r="X13" s="411" t="s">
        <v>313</v>
      </c>
      <c r="Y13" s="411">
        <v>7</v>
      </c>
      <c r="Z13" s="412" t="s">
        <v>194</v>
      </c>
      <c r="AA13" s="618">
        <v>4</v>
      </c>
      <c r="AB13" s="414">
        <v>36</v>
      </c>
      <c r="AC13" s="414">
        <v>68</v>
      </c>
      <c r="AD13" s="410">
        <f t="shared" si="0"/>
        <v>50</v>
      </c>
      <c r="AE13" s="411" t="s">
        <v>313</v>
      </c>
      <c r="AF13" s="415">
        <f t="shared" si="1"/>
        <v>45</v>
      </c>
      <c r="AG13" s="416">
        <f t="shared" si="2"/>
        <v>5</v>
      </c>
      <c r="AH13" s="417">
        <f t="shared" si="5"/>
        <v>94</v>
      </c>
      <c r="AI13" s="439" t="str">
        <f t="shared" si="4"/>
        <v>Johannes Neiland</v>
      </c>
      <c r="AJ13" s="418">
        <f>IFERROR(INDEX(V!$R:$R,MATCH(AI13,V!$L:$L,0)),"")</f>
        <v>94</v>
      </c>
    </row>
    <row r="14" spans="1:36" x14ac:dyDescent="0.2">
      <c r="A14" s="408">
        <v>8</v>
      </c>
      <c r="B14" s="422" t="s">
        <v>195</v>
      </c>
      <c r="C14" s="410">
        <v>13</v>
      </c>
      <c r="D14" s="411" t="s">
        <v>313</v>
      </c>
      <c r="E14" s="411">
        <v>10</v>
      </c>
      <c r="F14" s="412" t="s">
        <v>193</v>
      </c>
      <c r="G14" s="410">
        <v>11</v>
      </c>
      <c r="H14" s="411" t="s">
        <v>313</v>
      </c>
      <c r="I14" s="411">
        <v>13</v>
      </c>
      <c r="J14" s="412" t="s">
        <v>194</v>
      </c>
      <c r="K14" s="410">
        <v>13</v>
      </c>
      <c r="L14" s="411" t="s">
        <v>313</v>
      </c>
      <c r="M14" s="411">
        <v>7</v>
      </c>
      <c r="N14" s="412" t="s">
        <v>407</v>
      </c>
      <c r="O14" s="410">
        <v>13</v>
      </c>
      <c r="P14" s="411" t="s">
        <v>313</v>
      </c>
      <c r="Q14" s="411">
        <v>11</v>
      </c>
      <c r="R14" s="412" t="s">
        <v>179</v>
      </c>
      <c r="S14" s="410">
        <v>2</v>
      </c>
      <c r="T14" s="411" t="s">
        <v>313</v>
      </c>
      <c r="U14" s="411">
        <v>13</v>
      </c>
      <c r="V14" s="412" t="s">
        <v>171</v>
      </c>
      <c r="W14" s="410">
        <v>3</v>
      </c>
      <c r="X14" s="411" t="s">
        <v>313</v>
      </c>
      <c r="Y14" s="411">
        <v>13</v>
      </c>
      <c r="Z14" s="412" t="s">
        <v>285</v>
      </c>
      <c r="AA14" s="618">
        <v>3</v>
      </c>
      <c r="AB14" s="414">
        <v>42</v>
      </c>
      <c r="AC14" s="414">
        <v>64</v>
      </c>
      <c r="AD14" s="410">
        <f t="shared" si="0"/>
        <v>52</v>
      </c>
      <c r="AE14" s="411" t="s">
        <v>313</v>
      </c>
      <c r="AF14" s="415">
        <f t="shared" si="1"/>
        <v>54</v>
      </c>
      <c r="AG14" s="416">
        <f t="shared" si="2"/>
        <v>-2</v>
      </c>
      <c r="AH14" s="417">
        <f t="shared" si="5"/>
        <v>154</v>
      </c>
      <c r="AI14" s="439" t="str">
        <f t="shared" si="4"/>
        <v>Kristel Tihhonjuk</v>
      </c>
      <c r="AJ14" s="418">
        <f>IFERROR(INDEX(V!$R:$R,MATCH(AI14,V!$L:$L,0)),"")</f>
        <v>154</v>
      </c>
    </row>
    <row r="15" spans="1:36" x14ac:dyDescent="0.2">
      <c r="A15" s="408">
        <v>9</v>
      </c>
      <c r="B15" s="421" t="s">
        <v>194</v>
      </c>
      <c r="C15" s="410">
        <v>13</v>
      </c>
      <c r="D15" s="411" t="s">
        <v>313</v>
      </c>
      <c r="E15" s="411">
        <v>10</v>
      </c>
      <c r="F15" s="412" t="s">
        <v>462</v>
      </c>
      <c r="G15" s="410">
        <v>13</v>
      </c>
      <c r="H15" s="411" t="s">
        <v>313</v>
      </c>
      <c r="I15" s="411">
        <v>11</v>
      </c>
      <c r="J15" s="412" t="s">
        <v>195</v>
      </c>
      <c r="K15" s="410">
        <v>4</v>
      </c>
      <c r="L15" s="411" t="s">
        <v>313</v>
      </c>
      <c r="M15" s="411">
        <v>13</v>
      </c>
      <c r="N15" s="412" t="s">
        <v>167</v>
      </c>
      <c r="O15" s="410">
        <v>13</v>
      </c>
      <c r="P15" s="411" t="s">
        <v>313</v>
      </c>
      <c r="Q15" s="411">
        <v>7</v>
      </c>
      <c r="R15" s="412" t="s">
        <v>193</v>
      </c>
      <c r="S15" s="410">
        <v>6</v>
      </c>
      <c r="T15" s="411" t="s">
        <v>313</v>
      </c>
      <c r="U15" s="411">
        <v>13</v>
      </c>
      <c r="V15" s="412" t="s">
        <v>191</v>
      </c>
      <c r="W15" s="410">
        <v>7</v>
      </c>
      <c r="X15" s="411" t="s">
        <v>313</v>
      </c>
      <c r="Y15" s="411">
        <v>13</v>
      </c>
      <c r="Z15" s="412" t="s">
        <v>461</v>
      </c>
      <c r="AA15" s="618">
        <v>3</v>
      </c>
      <c r="AB15" s="414">
        <v>40</v>
      </c>
      <c r="AC15" s="414">
        <v>42</v>
      </c>
      <c r="AD15" s="410">
        <f t="shared" si="0"/>
        <v>49</v>
      </c>
      <c r="AE15" s="411" t="s">
        <v>313</v>
      </c>
      <c r="AF15" s="415">
        <f t="shared" si="1"/>
        <v>54</v>
      </c>
      <c r="AG15" s="416">
        <f t="shared" si="2"/>
        <v>-5</v>
      </c>
      <c r="AH15" s="417">
        <f t="shared" si="5"/>
        <v>62</v>
      </c>
      <c r="AI15" s="439" t="str">
        <f t="shared" si="4"/>
        <v>Boriss Klubov</v>
      </c>
      <c r="AJ15" s="418">
        <f>IFERROR(INDEX(V!$R:$R,MATCH(AI15,V!$L:$L,0)),"")</f>
        <v>62</v>
      </c>
    </row>
    <row r="16" spans="1:36" x14ac:dyDescent="0.2">
      <c r="A16" s="408">
        <v>10</v>
      </c>
      <c r="B16" s="422" t="s">
        <v>179</v>
      </c>
      <c r="C16" s="410">
        <v>13</v>
      </c>
      <c r="D16" s="411" t="s">
        <v>313</v>
      </c>
      <c r="E16" s="411">
        <v>9</v>
      </c>
      <c r="F16" s="412" t="s">
        <v>200</v>
      </c>
      <c r="G16" s="410">
        <v>13</v>
      </c>
      <c r="H16" s="411" t="s">
        <v>313</v>
      </c>
      <c r="I16" s="411">
        <v>10</v>
      </c>
      <c r="J16" s="412" t="s">
        <v>167</v>
      </c>
      <c r="K16" s="410">
        <v>6</v>
      </c>
      <c r="L16" s="411" t="s">
        <v>313</v>
      </c>
      <c r="M16" s="411">
        <v>13</v>
      </c>
      <c r="N16" s="412" t="s">
        <v>191</v>
      </c>
      <c r="O16" s="410">
        <v>11</v>
      </c>
      <c r="P16" s="411" t="s">
        <v>313</v>
      </c>
      <c r="Q16" s="411">
        <v>13</v>
      </c>
      <c r="R16" s="412" t="s">
        <v>195</v>
      </c>
      <c r="S16" s="410">
        <v>6</v>
      </c>
      <c r="T16" s="411" t="s">
        <v>313</v>
      </c>
      <c r="U16" s="411">
        <v>13</v>
      </c>
      <c r="V16" s="412" t="s">
        <v>193</v>
      </c>
      <c r="W16" s="410">
        <v>13</v>
      </c>
      <c r="X16" s="411" t="s">
        <v>313</v>
      </c>
      <c r="Y16" s="411">
        <v>8</v>
      </c>
      <c r="Z16" s="412" t="s">
        <v>184</v>
      </c>
      <c r="AA16" s="618">
        <v>3</v>
      </c>
      <c r="AB16" s="414">
        <v>36</v>
      </c>
      <c r="AC16" s="414">
        <v>58</v>
      </c>
      <c r="AD16" s="410">
        <f t="shared" si="0"/>
        <v>49</v>
      </c>
      <c r="AE16" s="411" t="s">
        <v>313</v>
      </c>
      <c r="AF16" s="415">
        <f t="shared" si="1"/>
        <v>58</v>
      </c>
      <c r="AG16" s="416">
        <f t="shared" si="2"/>
        <v>-9</v>
      </c>
      <c r="AH16" s="417">
        <f t="shared" si="5"/>
        <v>46</v>
      </c>
      <c r="AI16" s="439" t="str">
        <f t="shared" si="4"/>
        <v>Meelis Luud</v>
      </c>
      <c r="AJ16" s="418">
        <f>IFERROR(INDEX(V!$R:$R,MATCH(AI16,V!$L:$L,0)),"")</f>
        <v>46</v>
      </c>
    </row>
    <row r="17" spans="1:36" x14ac:dyDescent="0.2">
      <c r="A17" s="408">
        <v>11</v>
      </c>
      <c r="B17" s="421" t="s">
        <v>193</v>
      </c>
      <c r="C17" s="410">
        <v>10</v>
      </c>
      <c r="D17" s="411" t="s">
        <v>313</v>
      </c>
      <c r="E17" s="411">
        <v>13</v>
      </c>
      <c r="F17" s="412" t="s">
        <v>195</v>
      </c>
      <c r="G17" s="410">
        <v>13</v>
      </c>
      <c r="H17" s="411" t="s">
        <v>313</v>
      </c>
      <c r="I17" s="411">
        <v>4</v>
      </c>
      <c r="J17" s="412" t="s">
        <v>462</v>
      </c>
      <c r="K17" s="410">
        <v>13</v>
      </c>
      <c r="L17" s="411" t="s">
        <v>313</v>
      </c>
      <c r="M17" s="411">
        <v>7</v>
      </c>
      <c r="N17" s="412" t="s">
        <v>199</v>
      </c>
      <c r="O17" s="410">
        <v>7</v>
      </c>
      <c r="P17" s="411" t="s">
        <v>313</v>
      </c>
      <c r="Q17" s="411">
        <v>13</v>
      </c>
      <c r="R17" s="412" t="s">
        <v>194</v>
      </c>
      <c r="S17" s="410">
        <v>13</v>
      </c>
      <c r="T17" s="411" t="s">
        <v>313</v>
      </c>
      <c r="U17" s="411">
        <v>6</v>
      </c>
      <c r="V17" s="412" t="s">
        <v>179</v>
      </c>
      <c r="W17" s="410">
        <v>3</v>
      </c>
      <c r="X17" s="411" t="s">
        <v>313</v>
      </c>
      <c r="Y17" s="411">
        <v>13</v>
      </c>
      <c r="Z17" s="412" t="s">
        <v>167</v>
      </c>
      <c r="AA17" s="618">
        <v>3</v>
      </c>
      <c r="AB17" s="414">
        <v>34</v>
      </c>
      <c r="AC17" s="414">
        <v>66</v>
      </c>
      <c r="AD17" s="410">
        <f t="shared" si="0"/>
        <v>56</v>
      </c>
      <c r="AE17" s="411" t="s">
        <v>313</v>
      </c>
      <c r="AF17" s="415">
        <f t="shared" si="1"/>
        <v>43</v>
      </c>
      <c r="AG17" s="416">
        <f t="shared" si="2"/>
        <v>13</v>
      </c>
      <c r="AH17" s="417">
        <f t="shared" si="5"/>
        <v>150</v>
      </c>
      <c r="AI17" s="439" t="str">
        <f t="shared" si="4"/>
        <v>Enn Tokman</v>
      </c>
      <c r="AJ17" s="418">
        <f>IFERROR(INDEX(V!$R:$R,MATCH(AI17,V!$L:$L,0)),"")</f>
        <v>150</v>
      </c>
    </row>
    <row r="18" spans="1:36" x14ac:dyDescent="0.2">
      <c r="A18" s="408">
        <v>12</v>
      </c>
      <c r="B18" s="422" t="s">
        <v>407</v>
      </c>
      <c r="C18" s="410">
        <v>13</v>
      </c>
      <c r="D18" s="411" t="s">
        <v>313</v>
      </c>
      <c r="E18" s="411">
        <v>5</v>
      </c>
      <c r="F18" s="412" t="s">
        <v>233</v>
      </c>
      <c r="G18" s="410">
        <v>4</v>
      </c>
      <c r="H18" s="411" t="s">
        <v>313</v>
      </c>
      <c r="I18" s="411">
        <v>13</v>
      </c>
      <c r="J18" s="412" t="s">
        <v>191</v>
      </c>
      <c r="K18" s="410">
        <v>7</v>
      </c>
      <c r="L18" s="411" t="s">
        <v>313</v>
      </c>
      <c r="M18" s="411">
        <v>13</v>
      </c>
      <c r="N18" s="412" t="s">
        <v>195</v>
      </c>
      <c r="O18" s="410">
        <v>13</v>
      </c>
      <c r="P18" s="411" t="s">
        <v>313</v>
      </c>
      <c r="Q18" s="411">
        <v>11</v>
      </c>
      <c r="R18" s="412" t="s">
        <v>462</v>
      </c>
      <c r="S18" s="410">
        <v>3</v>
      </c>
      <c r="T18" s="411" t="s">
        <v>313</v>
      </c>
      <c r="U18" s="411">
        <v>13</v>
      </c>
      <c r="V18" s="412" t="s">
        <v>285</v>
      </c>
      <c r="W18" s="410">
        <v>13</v>
      </c>
      <c r="X18" s="411" t="s">
        <v>313</v>
      </c>
      <c r="Y18" s="411">
        <v>12</v>
      </c>
      <c r="Z18" s="412" t="s">
        <v>173</v>
      </c>
      <c r="AA18" s="618">
        <v>3</v>
      </c>
      <c r="AB18" s="414">
        <v>32</v>
      </c>
      <c r="AC18" s="414">
        <v>44</v>
      </c>
      <c r="AD18" s="410">
        <f t="shared" si="0"/>
        <v>40</v>
      </c>
      <c r="AE18" s="411" t="s">
        <v>313</v>
      </c>
      <c r="AF18" s="415">
        <f t="shared" si="1"/>
        <v>55</v>
      </c>
      <c r="AG18" s="416">
        <f t="shared" si="2"/>
        <v>-15</v>
      </c>
      <c r="AH18" s="417">
        <f t="shared" si="5"/>
        <v>108</v>
      </c>
      <c r="AI18" s="439" t="str">
        <f t="shared" si="4"/>
        <v>Marko Rooden</v>
      </c>
      <c r="AJ18" s="418">
        <f>IFERROR(INDEX(V!$R:$R,MATCH(AI18,V!$L:$L,0)),"")</f>
        <v>108</v>
      </c>
    </row>
    <row r="19" spans="1:36" x14ac:dyDescent="0.2">
      <c r="A19" s="408">
        <v>13</v>
      </c>
      <c r="B19" s="421" t="s">
        <v>174</v>
      </c>
      <c r="C19" s="410">
        <v>7</v>
      </c>
      <c r="D19" s="411" t="s">
        <v>313</v>
      </c>
      <c r="E19" s="411">
        <v>13</v>
      </c>
      <c r="F19" s="412" t="s">
        <v>184</v>
      </c>
      <c r="G19" s="410">
        <v>6</v>
      </c>
      <c r="H19" s="411" t="s">
        <v>313</v>
      </c>
      <c r="I19" s="411">
        <v>13</v>
      </c>
      <c r="J19" s="412" t="s">
        <v>173</v>
      </c>
      <c r="K19" s="410">
        <v>13</v>
      </c>
      <c r="L19" s="411" t="s">
        <v>313</v>
      </c>
      <c r="M19" s="411">
        <v>9</v>
      </c>
      <c r="N19" s="412" t="s">
        <v>192</v>
      </c>
      <c r="O19" s="410">
        <v>13</v>
      </c>
      <c r="P19" s="411" t="s">
        <v>313</v>
      </c>
      <c r="Q19" s="411">
        <v>10</v>
      </c>
      <c r="R19" s="412" t="s">
        <v>233</v>
      </c>
      <c r="S19" s="410">
        <v>12</v>
      </c>
      <c r="T19" s="411" t="s">
        <v>313</v>
      </c>
      <c r="U19" s="411">
        <v>13</v>
      </c>
      <c r="V19" s="412" t="s">
        <v>461</v>
      </c>
      <c r="W19" s="410">
        <v>13</v>
      </c>
      <c r="X19" s="411" t="s">
        <v>313</v>
      </c>
      <c r="Y19" s="411">
        <v>10</v>
      </c>
      <c r="Z19" s="412" t="s">
        <v>200</v>
      </c>
      <c r="AA19" s="618">
        <v>3</v>
      </c>
      <c r="AB19" s="414">
        <v>24</v>
      </c>
      <c r="AC19" s="414">
        <v>42</v>
      </c>
      <c r="AD19" s="410">
        <f t="shared" si="0"/>
        <v>51</v>
      </c>
      <c r="AE19" s="411" t="s">
        <v>313</v>
      </c>
      <c r="AF19" s="415">
        <f t="shared" si="1"/>
        <v>58</v>
      </c>
      <c r="AG19" s="416">
        <f t="shared" si="2"/>
        <v>-7</v>
      </c>
      <c r="AH19" s="417">
        <f t="shared" si="5"/>
        <v>130</v>
      </c>
      <c r="AI19" s="439" t="str">
        <f t="shared" si="4"/>
        <v>Kaspar Mänd</v>
      </c>
      <c r="AJ19" s="418">
        <f>IFERROR(INDEX(V!$R:$R,MATCH(AI19,V!$L:$L,0)),"")</f>
        <v>130</v>
      </c>
    </row>
    <row r="20" spans="1:36" x14ac:dyDescent="0.2">
      <c r="A20" s="408">
        <v>14</v>
      </c>
      <c r="B20" s="422" t="s">
        <v>184</v>
      </c>
      <c r="C20" s="410">
        <v>13</v>
      </c>
      <c r="D20" s="411" t="s">
        <v>313</v>
      </c>
      <c r="E20" s="411">
        <v>7</v>
      </c>
      <c r="F20" s="412" t="s">
        <v>174</v>
      </c>
      <c r="G20" s="410">
        <v>10</v>
      </c>
      <c r="H20" s="411" t="s">
        <v>313</v>
      </c>
      <c r="I20" s="411">
        <v>13</v>
      </c>
      <c r="J20" s="412" t="s">
        <v>171</v>
      </c>
      <c r="K20" s="410">
        <v>8</v>
      </c>
      <c r="L20" s="411" t="s">
        <v>313</v>
      </c>
      <c r="M20" s="411">
        <v>13</v>
      </c>
      <c r="N20" s="412" t="s">
        <v>182</v>
      </c>
      <c r="O20" s="410">
        <v>13</v>
      </c>
      <c r="P20" s="411" t="s">
        <v>313</v>
      </c>
      <c r="Q20" s="411">
        <v>8</v>
      </c>
      <c r="R20" s="412" t="s">
        <v>173</v>
      </c>
      <c r="S20" s="410">
        <v>8</v>
      </c>
      <c r="T20" s="411" t="s">
        <v>313</v>
      </c>
      <c r="U20" s="411">
        <v>13</v>
      </c>
      <c r="V20" s="412" t="s">
        <v>175</v>
      </c>
      <c r="W20" s="410">
        <v>8</v>
      </c>
      <c r="X20" s="411" t="s">
        <v>313</v>
      </c>
      <c r="Y20" s="411">
        <v>13</v>
      </c>
      <c r="Z20" s="412" t="s">
        <v>179</v>
      </c>
      <c r="AA20" s="618">
        <v>2</v>
      </c>
      <c r="AB20" s="414">
        <v>44</v>
      </c>
      <c r="AC20" s="414">
        <v>40</v>
      </c>
      <c r="AD20" s="410">
        <f t="shared" ref="AD20:AD26" si="6">C20+G20+K20+O20+S20</f>
        <v>52</v>
      </c>
      <c r="AE20" s="411" t="s">
        <v>313</v>
      </c>
      <c r="AF20" s="415">
        <f t="shared" ref="AF20:AF26" si="7">E20+I20+M20+Q20+U20</f>
        <v>54</v>
      </c>
      <c r="AG20" s="416">
        <f t="shared" ref="AG20:AG26" si="8">AD20-AF20</f>
        <v>-2</v>
      </c>
      <c r="AH20" s="417">
        <f t="shared" ref="AH20:AH26" si="9">SUM(AI20:AJ20)</f>
        <v>114</v>
      </c>
      <c r="AI20" s="439" t="str">
        <f t="shared" si="4"/>
        <v>Elmo Lageda</v>
      </c>
      <c r="AJ20" s="418">
        <f>IFERROR(INDEX(V!$R:$R,MATCH(AI20,V!$L:$L,0)),"")</f>
        <v>114</v>
      </c>
    </row>
    <row r="21" spans="1:36" x14ac:dyDescent="0.2">
      <c r="A21" s="408">
        <v>15</v>
      </c>
      <c r="B21" s="421" t="s">
        <v>173</v>
      </c>
      <c r="C21" s="410">
        <v>7</v>
      </c>
      <c r="D21" s="411" t="s">
        <v>313</v>
      </c>
      <c r="E21" s="411">
        <v>13</v>
      </c>
      <c r="F21" s="412" t="s">
        <v>171</v>
      </c>
      <c r="G21" s="410">
        <v>13</v>
      </c>
      <c r="H21" s="411" t="s">
        <v>313</v>
      </c>
      <c r="I21" s="411">
        <v>6</v>
      </c>
      <c r="J21" s="412" t="s">
        <v>174</v>
      </c>
      <c r="K21" s="410">
        <v>7</v>
      </c>
      <c r="L21" s="411" t="s">
        <v>313</v>
      </c>
      <c r="M21" s="411">
        <v>13</v>
      </c>
      <c r="N21" s="412" t="s">
        <v>285</v>
      </c>
      <c r="O21" s="410">
        <v>8</v>
      </c>
      <c r="P21" s="411" t="s">
        <v>313</v>
      </c>
      <c r="Q21" s="411">
        <v>13</v>
      </c>
      <c r="R21" s="412" t="s">
        <v>184</v>
      </c>
      <c r="S21" s="410">
        <v>13</v>
      </c>
      <c r="T21" s="411" t="s">
        <v>313</v>
      </c>
      <c r="U21" s="411">
        <v>2</v>
      </c>
      <c r="V21" s="412" t="s">
        <v>462</v>
      </c>
      <c r="W21" s="410">
        <v>12</v>
      </c>
      <c r="X21" s="411" t="s">
        <v>313</v>
      </c>
      <c r="Y21" s="411">
        <v>13</v>
      </c>
      <c r="Z21" s="412" t="s">
        <v>407</v>
      </c>
      <c r="AA21" s="618">
        <v>2</v>
      </c>
      <c r="AB21" s="414">
        <v>38</v>
      </c>
      <c r="AC21" s="414">
        <v>38</v>
      </c>
      <c r="AD21" s="410">
        <f t="shared" si="6"/>
        <v>48</v>
      </c>
      <c r="AE21" s="411" t="s">
        <v>313</v>
      </c>
      <c r="AF21" s="415">
        <f t="shared" si="7"/>
        <v>47</v>
      </c>
      <c r="AG21" s="416">
        <f t="shared" si="8"/>
        <v>1</v>
      </c>
      <c r="AH21" s="417">
        <f t="shared" si="9"/>
        <v>132</v>
      </c>
      <c r="AI21" s="439" t="str">
        <f t="shared" si="4"/>
        <v>Andres Veski</v>
      </c>
      <c r="AJ21" s="418">
        <f>IFERROR(INDEX(V!$R:$R,MATCH(AI21,V!$L:$L,0)),"")</f>
        <v>132</v>
      </c>
    </row>
    <row r="22" spans="1:36" x14ac:dyDescent="0.2">
      <c r="A22" s="408">
        <v>16</v>
      </c>
      <c r="B22" s="422" t="s">
        <v>199</v>
      </c>
      <c r="C22" s="410">
        <v>9</v>
      </c>
      <c r="D22" s="411" t="s">
        <v>313</v>
      </c>
      <c r="E22" s="411">
        <v>13</v>
      </c>
      <c r="F22" s="412" t="s">
        <v>167</v>
      </c>
      <c r="G22" s="410">
        <v>13</v>
      </c>
      <c r="H22" s="411" t="s">
        <v>313</v>
      </c>
      <c r="I22" s="411">
        <v>4</v>
      </c>
      <c r="J22" s="412" t="s">
        <v>200</v>
      </c>
      <c r="K22" s="410">
        <v>7</v>
      </c>
      <c r="L22" s="411" t="s">
        <v>313</v>
      </c>
      <c r="M22" s="411">
        <v>13</v>
      </c>
      <c r="N22" s="412" t="s">
        <v>193</v>
      </c>
      <c r="O22" s="410">
        <v>1</v>
      </c>
      <c r="P22" s="411" t="s">
        <v>313</v>
      </c>
      <c r="Q22" s="411">
        <v>13</v>
      </c>
      <c r="R22" s="412" t="s">
        <v>461</v>
      </c>
      <c r="S22" s="410">
        <v>2</v>
      </c>
      <c r="T22" s="411" t="s">
        <v>313</v>
      </c>
      <c r="U22" s="411">
        <v>13</v>
      </c>
      <c r="V22" s="412" t="s">
        <v>192</v>
      </c>
      <c r="W22" s="410">
        <v>13</v>
      </c>
      <c r="X22" s="411" t="s">
        <v>313</v>
      </c>
      <c r="Y22" s="411">
        <v>10</v>
      </c>
      <c r="Z22" s="412" t="s">
        <v>233</v>
      </c>
      <c r="AA22" s="618">
        <v>2</v>
      </c>
      <c r="AB22" s="414">
        <v>30</v>
      </c>
      <c r="AC22" s="414">
        <v>36</v>
      </c>
      <c r="AD22" s="410">
        <f t="shared" si="6"/>
        <v>32</v>
      </c>
      <c r="AE22" s="411" t="s">
        <v>313</v>
      </c>
      <c r="AF22" s="415">
        <f t="shared" si="7"/>
        <v>56</v>
      </c>
      <c r="AG22" s="416">
        <f t="shared" si="8"/>
        <v>-24</v>
      </c>
      <c r="AH22" s="417">
        <f t="shared" si="9"/>
        <v>6</v>
      </c>
      <c r="AI22" s="439" t="str">
        <f t="shared" si="4"/>
        <v>Heili Vasser</v>
      </c>
      <c r="AJ22" s="418">
        <f>IFERROR(INDEX(V!$R:$R,MATCH(AI22,V!$L:$L,0)),"")</f>
        <v>6</v>
      </c>
    </row>
    <row r="23" spans="1:36" x14ac:dyDescent="0.2">
      <c r="A23" s="408">
        <v>17</v>
      </c>
      <c r="B23" s="421" t="s">
        <v>200</v>
      </c>
      <c r="C23" s="410">
        <v>9</v>
      </c>
      <c r="D23" s="411" t="s">
        <v>313</v>
      </c>
      <c r="E23" s="411">
        <v>13</v>
      </c>
      <c r="F23" s="412" t="s">
        <v>179</v>
      </c>
      <c r="G23" s="410">
        <v>4</v>
      </c>
      <c r="H23" s="411" t="s">
        <v>313</v>
      </c>
      <c r="I23" s="411">
        <v>13</v>
      </c>
      <c r="J23" s="412" t="s">
        <v>199</v>
      </c>
      <c r="K23" s="410">
        <v>6</v>
      </c>
      <c r="L23" s="411" t="s">
        <v>313</v>
      </c>
      <c r="M23" s="411">
        <v>13</v>
      </c>
      <c r="N23" s="412" t="s">
        <v>461</v>
      </c>
      <c r="O23" s="410">
        <v>13</v>
      </c>
      <c r="P23" s="411" t="s">
        <v>313</v>
      </c>
      <c r="Q23" s="411">
        <v>5</v>
      </c>
      <c r="R23" s="412" t="s">
        <v>192</v>
      </c>
      <c r="S23" s="410">
        <v>13</v>
      </c>
      <c r="T23" s="411" t="s">
        <v>313</v>
      </c>
      <c r="U23" s="411">
        <v>1</v>
      </c>
      <c r="V23" s="412" t="s">
        <v>233</v>
      </c>
      <c r="W23" s="410">
        <v>10</v>
      </c>
      <c r="X23" s="411" t="s">
        <v>313</v>
      </c>
      <c r="Y23" s="411">
        <v>13</v>
      </c>
      <c r="Z23" s="412" t="s">
        <v>174</v>
      </c>
      <c r="AA23" s="618">
        <v>2</v>
      </c>
      <c r="AB23" s="414">
        <v>28</v>
      </c>
      <c r="AC23" s="414">
        <v>34</v>
      </c>
      <c r="AD23" s="410">
        <f t="shared" si="6"/>
        <v>45</v>
      </c>
      <c r="AE23" s="411" t="s">
        <v>313</v>
      </c>
      <c r="AF23" s="415">
        <f t="shared" si="7"/>
        <v>45</v>
      </c>
      <c r="AG23" s="416">
        <f t="shared" si="8"/>
        <v>0</v>
      </c>
      <c r="AH23" s="417">
        <f t="shared" si="9"/>
        <v>6</v>
      </c>
      <c r="AI23" s="439" t="str">
        <f t="shared" si="4"/>
        <v>Vello Vasser</v>
      </c>
      <c r="AJ23" s="418">
        <f>IFERROR(INDEX(V!$R:$R,MATCH(AI23,V!$L:$L,0)),"")</f>
        <v>6</v>
      </c>
    </row>
    <row r="24" spans="1:36" x14ac:dyDescent="0.2">
      <c r="A24" s="408">
        <v>18</v>
      </c>
      <c r="B24" s="422" t="s">
        <v>196</v>
      </c>
      <c r="C24" s="410">
        <v>10</v>
      </c>
      <c r="D24" s="411" t="s">
        <v>313</v>
      </c>
      <c r="E24" s="411">
        <v>13</v>
      </c>
      <c r="F24" s="412" t="s">
        <v>194</v>
      </c>
      <c r="G24" s="410">
        <v>4</v>
      </c>
      <c r="H24" s="411" t="s">
        <v>313</v>
      </c>
      <c r="I24" s="411">
        <v>13</v>
      </c>
      <c r="J24" s="412" t="s">
        <v>193</v>
      </c>
      <c r="K24" s="410">
        <v>13</v>
      </c>
      <c r="L24" s="411" t="s">
        <v>313</v>
      </c>
      <c r="M24" s="411">
        <v>2</v>
      </c>
      <c r="N24" s="412" t="s">
        <v>233</v>
      </c>
      <c r="O24" s="410">
        <v>11</v>
      </c>
      <c r="P24" s="411" t="s">
        <v>313</v>
      </c>
      <c r="Q24" s="411">
        <v>13</v>
      </c>
      <c r="R24" s="412" t="s">
        <v>407</v>
      </c>
      <c r="S24" s="410">
        <v>2</v>
      </c>
      <c r="T24" s="411" t="s">
        <v>313</v>
      </c>
      <c r="U24" s="411">
        <v>13</v>
      </c>
      <c r="V24" s="412" t="s">
        <v>173</v>
      </c>
      <c r="W24" s="410">
        <v>13</v>
      </c>
      <c r="X24" s="411" t="s">
        <v>313</v>
      </c>
      <c r="Y24" s="411">
        <v>9</v>
      </c>
      <c r="Z24" s="412" t="s">
        <v>192</v>
      </c>
      <c r="AA24" s="618">
        <v>2</v>
      </c>
      <c r="AB24" s="414">
        <v>26</v>
      </c>
      <c r="AC24" s="414">
        <v>32</v>
      </c>
      <c r="AD24" s="410">
        <f t="shared" si="6"/>
        <v>40</v>
      </c>
      <c r="AE24" s="411" t="s">
        <v>313</v>
      </c>
      <c r="AF24" s="415">
        <f t="shared" si="7"/>
        <v>54</v>
      </c>
      <c r="AG24" s="416">
        <f t="shared" si="8"/>
        <v>-14</v>
      </c>
      <c r="AH24" s="417">
        <f t="shared" si="9"/>
        <v>156</v>
      </c>
      <c r="AI24" s="439" t="str">
        <f t="shared" si="4"/>
        <v>Aleksander Korikov</v>
      </c>
      <c r="AJ24" s="418">
        <f>IFERROR(INDEX(V!$R:$R,MATCH(AI24,V!$L:$L,0)),"")</f>
        <v>156</v>
      </c>
    </row>
    <row r="25" spans="1:36" x14ac:dyDescent="0.2">
      <c r="A25" s="408">
        <v>19</v>
      </c>
      <c r="B25" s="421" t="s">
        <v>192</v>
      </c>
      <c r="C25" s="410">
        <v>3</v>
      </c>
      <c r="D25" s="411" t="s">
        <v>313</v>
      </c>
      <c r="E25" s="411">
        <v>13</v>
      </c>
      <c r="F25" s="412" t="s">
        <v>182</v>
      </c>
      <c r="G25" s="410">
        <v>3</v>
      </c>
      <c r="H25" s="411" t="s">
        <v>313</v>
      </c>
      <c r="I25" s="411">
        <v>13</v>
      </c>
      <c r="J25" s="412" t="s">
        <v>233</v>
      </c>
      <c r="K25" s="410">
        <v>9</v>
      </c>
      <c r="L25" s="411" t="s">
        <v>313</v>
      </c>
      <c r="M25" s="411">
        <v>13</v>
      </c>
      <c r="N25" s="412" t="s">
        <v>174</v>
      </c>
      <c r="O25" s="410">
        <v>5</v>
      </c>
      <c r="P25" s="411" t="s">
        <v>313</v>
      </c>
      <c r="Q25" s="411">
        <v>13</v>
      </c>
      <c r="R25" s="412" t="s">
        <v>200</v>
      </c>
      <c r="S25" s="410">
        <v>13</v>
      </c>
      <c r="T25" s="411" t="s">
        <v>313</v>
      </c>
      <c r="U25" s="411">
        <v>2</v>
      </c>
      <c r="V25" s="412" t="s">
        <v>199</v>
      </c>
      <c r="W25" s="410">
        <v>9</v>
      </c>
      <c r="X25" s="411" t="s">
        <v>313</v>
      </c>
      <c r="Y25" s="411">
        <v>13</v>
      </c>
      <c r="Z25" s="412" t="s">
        <v>462</v>
      </c>
      <c r="AA25" s="618">
        <v>1</v>
      </c>
      <c r="AB25" s="414">
        <v>30</v>
      </c>
      <c r="AC25" s="414">
        <v>30</v>
      </c>
      <c r="AD25" s="410">
        <f t="shared" si="6"/>
        <v>33</v>
      </c>
      <c r="AE25" s="411" t="s">
        <v>313</v>
      </c>
      <c r="AF25" s="415">
        <f t="shared" si="7"/>
        <v>54</v>
      </c>
      <c r="AG25" s="416">
        <f t="shared" si="8"/>
        <v>-21</v>
      </c>
      <c r="AH25" s="417">
        <f t="shared" si="9"/>
        <v>22</v>
      </c>
      <c r="AI25" s="439" t="str">
        <f t="shared" si="4"/>
        <v>Lemmit Toomra</v>
      </c>
      <c r="AJ25" s="418">
        <f>IFERROR(INDEX(V!$R:$R,MATCH(AI25,V!$L:$L,0)),"")</f>
        <v>22</v>
      </c>
    </row>
    <row r="26" spans="1:36" x14ac:dyDescent="0.2">
      <c r="A26" s="408">
        <v>20</v>
      </c>
      <c r="B26" s="422" t="s">
        <v>233</v>
      </c>
      <c r="C26" s="410">
        <v>5</v>
      </c>
      <c r="D26" s="411" t="s">
        <v>313</v>
      </c>
      <c r="E26" s="411">
        <v>13</v>
      </c>
      <c r="F26" s="412" t="s">
        <v>407</v>
      </c>
      <c r="G26" s="410">
        <v>13</v>
      </c>
      <c r="H26" s="411" t="s">
        <v>313</v>
      </c>
      <c r="I26" s="411">
        <v>3</v>
      </c>
      <c r="J26" s="412" t="s">
        <v>192</v>
      </c>
      <c r="K26" s="410">
        <v>2</v>
      </c>
      <c r="L26" s="411" t="s">
        <v>313</v>
      </c>
      <c r="M26" s="411">
        <v>13</v>
      </c>
      <c r="N26" s="412" t="s">
        <v>462</v>
      </c>
      <c r="O26" s="410">
        <v>10</v>
      </c>
      <c r="P26" s="411" t="s">
        <v>313</v>
      </c>
      <c r="Q26" s="411">
        <v>13</v>
      </c>
      <c r="R26" s="412" t="s">
        <v>174</v>
      </c>
      <c r="S26" s="410">
        <v>1</v>
      </c>
      <c r="T26" s="411" t="s">
        <v>313</v>
      </c>
      <c r="U26" s="411">
        <v>13</v>
      </c>
      <c r="V26" s="412" t="s">
        <v>200</v>
      </c>
      <c r="W26" s="410">
        <v>10</v>
      </c>
      <c r="X26" s="411" t="s">
        <v>313</v>
      </c>
      <c r="Y26" s="411">
        <v>13</v>
      </c>
      <c r="Z26" s="412" t="s">
        <v>199</v>
      </c>
      <c r="AA26" s="618">
        <v>1</v>
      </c>
      <c r="AB26" s="414">
        <v>26</v>
      </c>
      <c r="AC26" s="414">
        <v>28</v>
      </c>
      <c r="AD26" s="410">
        <f t="shared" si="6"/>
        <v>31</v>
      </c>
      <c r="AE26" s="411" t="s">
        <v>313</v>
      </c>
      <c r="AF26" s="415">
        <f t="shared" si="7"/>
        <v>55</v>
      </c>
      <c r="AG26" s="416">
        <f t="shared" si="8"/>
        <v>-24</v>
      </c>
      <c r="AH26" s="417">
        <f t="shared" si="9"/>
        <v>92</v>
      </c>
      <c r="AI26" s="439" t="str">
        <f t="shared" si="4"/>
        <v>Liidia Põllu</v>
      </c>
      <c r="AJ26" s="418">
        <f>IFERROR(INDEX(V!$R:$R,MATCH(AI26,V!$L:$L,0)),"")</f>
        <v>92</v>
      </c>
    </row>
    <row r="29" spans="1:36" hidden="1" x14ac:dyDescent="0.2"/>
    <row r="30" spans="1:36" hidden="1" x14ac:dyDescent="0.2"/>
    <row r="31" spans="1:36" hidden="1" x14ac:dyDescent="0.2"/>
    <row r="32" spans="1:36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6" hidden="1" x14ac:dyDescent="0.2"/>
    <row r="290" spans="1:6" hidden="1" x14ac:dyDescent="0.2"/>
    <row r="291" spans="1:6" hidden="1" x14ac:dyDescent="0.2"/>
    <row r="292" spans="1:6" hidden="1" x14ac:dyDescent="0.2"/>
    <row r="293" spans="1:6" hidden="1" x14ac:dyDescent="0.2"/>
    <row r="294" spans="1:6" hidden="1" x14ac:dyDescent="0.2"/>
    <row r="295" spans="1:6" hidden="1" x14ac:dyDescent="0.2"/>
    <row r="296" spans="1:6" hidden="1" x14ac:dyDescent="0.2"/>
    <row r="297" spans="1:6" hidden="1" x14ac:dyDescent="0.2"/>
    <row r="298" spans="1:6" hidden="1" x14ac:dyDescent="0.2"/>
    <row r="299" spans="1:6" hidden="1" x14ac:dyDescent="0.2">
      <c r="A299" s="378"/>
      <c r="B299" s="378"/>
      <c r="C299" s="423"/>
      <c r="F299" s="424"/>
    </row>
    <row r="300" spans="1:6" x14ac:dyDescent="0.2">
      <c r="A300" s="425">
        <v>1</v>
      </c>
      <c r="B300" s="426" t="str">
        <f t="shared" ref="B300:B312" si="10">IFERROR(INDEX(B$1:B$95,MATCH(A300,A$1:A$95,0)),"")</f>
        <v>Tõnu Kapper</v>
      </c>
      <c r="C300" s="427"/>
      <c r="F300" s="424"/>
    </row>
    <row r="301" spans="1:6" x14ac:dyDescent="0.2">
      <c r="A301" s="425">
        <v>2</v>
      </c>
      <c r="B301" s="426" t="str">
        <f t="shared" si="10"/>
        <v>Oleg Rõndenkov</v>
      </c>
      <c r="C301" s="427"/>
      <c r="F301" s="424"/>
    </row>
    <row r="302" spans="1:6" x14ac:dyDescent="0.2">
      <c r="A302" s="425">
        <v>3</v>
      </c>
      <c r="B302" s="426" t="str">
        <f t="shared" si="10"/>
        <v>Svetlana Veski</v>
      </c>
      <c r="C302" s="427"/>
      <c r="F302" s="424"/>
    </row>
    <row r="303" spans="1:6" x14ac:dyDescent="0.2">
      <c r="A303" s="425">
        <v>4</v>
      </c>
      <c r="B303" s="426" t="str">
        <f t="shared" si="10"/>
        <v>Vadim Tihhonjuk</v>
      </c>
      <c r="C303" s="427"/>
      <c r="F303" s="424"/>
    </row>
    <row r="304" spans="1:6" x14ac:dyDescent="0.2">
      <c r="A304" s="425">
        <v>5</v>
      </c>
      <c r="B304" s="426" t="str">
        <f t="shared" si="10"/>
        <v>Jevgeni Korikov</v>
      </c>
      <c r="C304" s="427"/>
      <c r="F304" s="424"/>
    </row>
    <row r="305" spans="1:6" x14ac:dyDescent="0.2">
      <c r="A305" s="425">
        <v>6</v>
      </c>
      <c r="B305" s="426" t="str">
        <f t="shared" si="10"/>
        <v>Sander Rose</v>
      </c>
      <c r="C305" s="427"/>
      <c r="F305" s="424"/>
    </row>
    <row r="306" spans="1:6" x14ac:dyDescent="0.2">
      <c r="A306" s="425">
        <v>7</v>
      </c>
      <c r="B306" s="426" t="str">
        <f t="shared" si="10"/>
        <v>Johannes Neiland</v>
      </c>
      <c r="C306" s="427"/>
      <c r="F306" s="424"/>
    </row>
    <row r="307" spans="1:6" x14ac:dyDescent="0.2">
      <c r="A307" s="425">
        <v>8</v>
      </c>
      <c r="B307" s="426" t="str">
        <f t="shared" si="10"/>
        <v>Kristel Tihhonjuk</v>
      </c>
      <c r="C307" s="427"/>
      <c r="F307" s="424"/>
    </row>
    <row r="308" spans="1:6" x14ac:dyDescent="0.2">
      <c r="A308" s="425">
        <v>9</v>
      </c>
      <c r="B308" s="426" t="str">
        <f t="shared" si="10"/>
        <v>Boriss Klubov</v>
      </c>
      <c r="C308" s="427"/>
      <c r="F308" s="424"/>
    </row>
    <row r="309" spans="1:6" x14ac:dyDescent="0.2">
      <c r="A309" s="425">
        <v>10</v>
      </c>
      <c r="B309" s="426" t="str">
        <f t="shared" si="10"/>
        <v>Meelis Luud</v>
      </c>
      <c r="C309" s="427"/>
    </row>
    <row r="310" spans="1:6" x14ac:dyDescent="0.2">
      <c r="A310" s="425">
        <v>11</v>
      </c>
      <c r="B310" s="426" t="str">
        <f t="shared" si="10"/>
        <v>Enn Tokman</v>
      </c>
      <c r="C310" s="427"/>
    </row>
    <row r="311" spans="1:6" x14ac:dyDescent="0.2">
      <c r="A311" s="425">
        <v>12</v>
      </c>
      <c r="B311" s="426" t="str">
        <f t="shared" si="10"/>
        <v>Marko Rooden</v>
      </c>
      <c r="C311" s="427"/>
    </row>
    <row r="312" spans="1:6" x14ac:dyDescent="0.2">
      <c r="A312" s="425">
        <v>13</v>
      </c>
      <c r="B312" s="426" t="str">
        <f t="shared" si="10"/>
        <v>Kaspar Mänd</v>
      </c>
      <c r="C312" s="427"/>
    </row>
    <row r="313" spans="1:6" x14ac:dyDescent="0.2">
      <c r="A313" s="425">
        <v>14</v>
      </c>
      <c r="B313" s="426" t="str">
        <f t="shared" ref="B313:B319" si="11">IFERROR(INDEX(B$1:B$95,MATCH(A313,A$1:A$95,0)),"")</f>
        <v>Elmo Lageda</v>
      </c>
      <c r="C313" s="427"/>
    </row>
    <row r="314" spans="1:6" x14ac:dyDescent="0.2">
      <c r="A314" s="425">
        <v>15</v>
      </c>
      <c r="B314" s="426" t="str">
        <f t="shared" si="11"/>
        <v>Andres Veski</v>
      </c>
      <c r="C314" s="427"/>
    </row>
    <row r="315" spans="1:6" x14ac:dyDescent="0.2">
      <c r="A315" s="425">
        <v>16</v>
      </c>
      <c r="B315" s="426" t="str">
        <f t="shared" si="11"/>
        <v>Heili Vasser</v>
      </c>
      <c r="C315" s="427"/>
    </row>
    <row r="316" spans="1:6" x14ac:dyDescent="0.2">
      <c r="A316" s="425">
        <v>17</v>
      </c>
      <c r="B316" s="426" t="str">
        <f t="shared" si="11"/>
        <v>Vello Vasser</v>
      </c>
      <c r="C316" s="427"/>
    </row>
    <row r="317" spans="1:6" x14ac:dyDescent="0.2">
      <c r="A317" s="425">
        <v>18</v>
      </c>
      <c r="B317" s="426" t="str">
        <f t="shared" si="11"/>
        <v>Aleksander Korikov</v>
      </c>
      <c r="C317" s="427"/>
    </row>
    <row r="318" spans="1:6" x14ac:dyDescent="0.2">
      <c r="A318" s="425">
        <v>19</v>
      </c>
      <c r="B318" s="426" t="str">
        <f t="shared" si="11"/>
        <v>Lemmit Toomra</v>
      </c>
      <c r="C318" s="427"/>
    </row>
    <row r="319" spans="1:6" x14ac:dyDescent="0.2">
      <c r="A319" s="425">
        <v>20</v>
      </c>
      <c r="B319" s="426" t="str">
        <f t="shared" si="11"/>
        <v>Liidia Põllu</v>
      </c>
      <c r="C319" s="427"/>
    </row>
  </sheetData>
  <conditionalFormatting sqref="AJ7:AJ26">
    <cfRule type="expression" dxfId="90" priority="46">
      <formula>AND(AI7="",COUNTIF(AJ7,"*,*")=0)</formula>
    </cfRule>
  </conditionalFormatting>
  <conditionalFormatting sqref="B300:B319">
    <cfRule type="expression" dxfId="89" priority="48">
      <formula>A300=3</formula>
    </cfRule>
    <cfRule type="expression" dxfId="88" priority="49">
      <formula>A300=2</formula>
    </cfRule>
    <cfRule type="expression" dxfId="87" priority="50">
      <formula>A300=1</formula>
    </cfRule>
    <cfRule type="containsBlanks" dxfId="86" priority="51">
      <formula>LEN(TRIM(B300))=0</formula>
    </cfRule>
    <cfRule type="duplicateValues" dxfId="85" priority="52"/>
  </conditionalFormatting>
  <conditionalFormatting sqref="A7:A26">
    <cfRule type="duplicateValues" dxfId="84" priority="42"/>
  </conditionalFormatting>
  <conditionalFormatting sqref="C7:C26">
    <cfRule type="expression" dxfId="83" priority="24">
      <formula>IF($C7&gt;$E7,TRUE)</formula>
    </cfRule>
  </conditionalFormatting>
  <conditionalFormatting sqref="E7:E26">
    <cfRule type="expression" dxfId="82" priority="25">
      <formula>IF($C7&lt;$E7,TRUE)</formula>
    </cfRule>
  </conditionalFormatting>
  <conditionalFormatting sqref="K7:K26">
    <cfRule type="expression" dxfId="81" priority="32">
      <formula>IF($K7&gt;$M7,TRUE)</formula>
    </cfRule>
  </conditionalFormatting>
  <conditionalFormatting sqref="M7:M26">
    <cfRule type="expression" dxfId="80" priority="33">
      <formula>IF($K7&lt;$M7,TRUE)</formula>
    </cfRule>
  </conditionalFormatting>
  <conditionalFormatting sqref="O7:O26">
    <cfRule type="expression" dxfId="79" priority="36">
      <formula>IF($O7&gt;$Q7,TRUE)</formula>
    </cfRule>
  </conditionalFormatting>
  <conditionalFormatting sqref="Q7:Q26">
    <cfRule type="expression" dxfId="78" priority="37">
      <formula>IF($O7&lt;$Q7,TRUE)</formula>
    </cfRule>
  </conditionalFormatting>
  <conditionalFormatting sqref="S7:S26">
    <cfRule type="expression" dxfId="77" priority="40">
      <formula>IF($S7&gt;$U7,TRUE)</formula>
    </cfRule>
  </conditionalFormatting>
  <conditionalFormatting sqref="U7:U26">
    <cfRule type="expression" dxfId="76" priority="41">
      <formula>IF($S7&lt;$U7,TRUE)</formula>
    </cfRule>
  </conditionalFormatting>
  <conditionalFormatting sqref="G7:G26">
    <cfRule type="expression" dxfId="75" priority="28">
      <formula>IF($G7&gt;$I7,TRUE)</formula>
    </cfRule>
  </conditionalFormatting>
  <conditionalFormatting sqref="I7:I26">
    <cfRule type="expression" dxfId="74" priority="29">
      <formula>IF($G7&lt;$I7,TRUE)</formula>
    </cfRule>
  </conditionalFormatting>
  <conditionalFormatting sqref="F7:F26">
    <cfRule type="containsText" dxfId="73" priority="15" operator="containsText" text="vaba voor">
      <formula>NOT(ISERROR(SEARCH("vaba voor",F7)))</formula>
    </cfRule>
  </conditionalFormatting>
  <conditionalFormatting sqref="N7:N26">
    <cfRule type="containsText" dxfId="72" priority="13" operator="containsText" text="vaba voor">
      <formula>NOT(ISERROR(SEARCH("vaba voor",N7)))</formula>
    </cfRule>
  </conditionalFormatting>
  <conditionalFormatting sqref="R7:R26">
    <cfRule type="containsText" dxfId="71" priority="16" operator="containsText" text="vaba voor">
      <formula>NOT(ISERROR(SEARCH("vaba voor",R7)))</formula>
    </cfRule>
  </conditionalFormatting>
  <conditionalFormatting sqref="V7:V26">
    <cfRule type="containsText" dxfId="70" priority="12" operator="containsText" text="vaba voor">
      <formula>NOT(ISERROR(SEARCH("vaba voor",V7)))</formula>
    </cfRule>
  </conditionalFormatting>
  <conditionalFormatting sqref="J7:J26">
    <cfRule type="containsText" dxfId="69" priority="14" operator="containsText" text="vaba voor">
      <formula>NOT(ISERROR(SEARCH("vaba voor",J7)))</formula>
    </cfRule>
  </conditionalFormatting>
  <conditionalFormatting sqref="C7:F26">
    <cfRule type="expression" dxfId="68" priority="20">
      <formula>IF(AND(ISNUMBER($C7),$C7=$E7),TRUE)</formula>
    </cfRule>
    <cfRule type="expression" dxfId="67" priority="22">
      <formula>IF($C7&gt;$E7,TRUE)</formula>
    </cfRule>
    <cfRule type="expression" dxfId="66" priority="23">
      <formula>IF($C7&lt;$E7,TRUE)</formula>
    </cfRule>
  </conditionalFormatting>
  <conditionalFormatting sqref="G7:J26">
    <cfRule type="expression" dxfId="65" priority="21">
      <formula>IF(AND(ISNUMBER($G7),$G7=$I7),TRUE)</formula>
    </cfRule>
    <cfRule type="expression" dxfId="64" priority="26">
      <formula>IF($G7&gt;$I7,TRUE)</formula>
    </cfRule>
    <cfRule type="expression" dxfId="63" priority="27">
      <formula>IF($G7&lt;$I7,TRUE)</formula>
    </cfRule>
  </conditionalFormatting>
  <conditionalFormatting sqref="K7:N26">
    <cfRule type="expression" dxfId="62" priority="19">
      <formula>IF(AND(ISNUMBER($K7),$K7=$M7),TRUE)</formula>
    </cfRule>
    <cfRule type="expression" dxfId="61" priority="30">
      <formula>IF($K7&gt;$M7,TRUE)</formula>
    </cfRule>
    <cfRule type="expression" dxfId="60" priority="31">
      <formula>IF($K7&lt;$M7,TRUE)</formula>
    </cfRule>
  </conditionalFormatting>
  <conditionalFormatting sqref="O7:R26">
    <cfRule type="expression" dxfId="59" priority="18">
      <formula>IF(AND(ISNUMBER($O7),$O7=$Q7),TRUE)</formula>
    </cfRule>
    <cfRule type="expression" dxfId="58" priority="34">
      <formula>IF($O7&gt;$Q7,TRUE)</formula>
    </cfRule>
    <cfRule type="expression" dxfId="57" priority="35">
      <formula>IF($O7&lt;$Q7,TRUE)</formula>
    </cfRule>
  </conditionalFormatting>
  <conditionalFormatting sqref="S7:V26">
    <cfRule type="expression" dxfId="56" priority="17">
      <formula>IF(AND(ISNUMBER($S7),$S7=$U7),TRUE)</formula>
    </cfRule>
    <cfRule type="expression" dxfId="55" priority="38">
      <formula>IF($S7&gt;$U7,TRUE)</formula>
    </cfRule>
    <cfRule type="expression" dxfId="54" priority="39">
      <formula>IF($S7&lt;$U7,TRUE)</formula>
    </cfRule>
  </conditionalFormatting>
  <conditionalFormatting sqref="C7:C26 G7:G26 K7:K26 O7:O26 S7:S26">
    <cfRule type="expression" dxfId="53" priority="10">
      <formula>AND(C7=0,E7=13)</formula>
    </cfRule>
  </conditionalFormatting>
  <conditionalFormatting sqref="E7:E26 I7:I26 M7:M26 Q7:Q26 U7:U26">
    <cfRule type="expression" dxfId="52" priority="11">
      <formula>AND(E7=0,C7=13)</formula>
    </cfRule>
  </conditionalFormatting>
  <conditionalFormatting sqref="AI7:AI26">
    <cfRule type="expression" dxfId="51" priority="9">
      <formula>AND(AJ7="",COUNTIF(AI7,"*,*")=0)</formula>
    </cfRule>
  </conditionalFormatting>
  <conditionalFormatting sqref="W7:W26">
    <cfRule type="expression" dxfId="50" priority="7">
      <formula>IF($S7&gt;$U7,TRUE)</formula>
    </cfRule>
  </conditionalFormatting>
  <conditionalFormatting sqref="Y7:Y26">
    <cfRule type="expression" dxfId="49" priority="8">
      <formula>IF($S7&lt;$U7,TRUE)</formula>
    </cfRule>
  </conditionalFormatting>
  <conditionalFormatting sqref="Z7:Z26">
    <cfRule type="containsText" dxfId="48" priority="3" operator="containsText" text="vaba voor">
      <formula>NOT(ISERROR(SEARCH("vaba voor",Z7)))</formula>
    </cfRule>
  </conditionalFormatting>
  <conditionalFormatting sqref="W7:W26">
    <cfRule type="expression" dxfId="47" priority="1">
      <formula>AND(W7=0,Y7=13)</formula>
    </cfRule>
  </conditionalFormatting>
  <conditionalFormatting sqref="Y7:Y26">
    <cfRule type="expression" dxfId="46" priority="2">
      <formula>AND(Y7=0,W7=13)</formula>
    </cfRule>
  </conditionalFormatting>
  <conditionalFormatting sqref="W7:Z26">
    <cfRule type="expression" dxfId="45" priority="4">
      <formula>IF(AND(ISNUMBER($S7),$S7=$U7),TRUE)</formula>
    </cfRule>
    <cfRule type="expression" dxfId="44" priority="5">
      <formula>IF($S7&gt;$U7,TRUE)</formula>
    </cfRule>
    <cfRule type="expression" dxfId="43" priority="6">
      <formula>IF($S7&lt;$U7,TRUE)</formula>
    </cfRule>
  </conditionalFormatting>
  <pageMargins left="0.39370078740157483" right="0.39370078740157483" top="0.78740157480314965" bottom="0.39370078740157483" header="0.78740157480314965" footer="0"/>
  <pageSetup paperSize="9" scale="97" fitToHeight="0" orientation="landscape" verticalDpi="1200" r:id="rId1"/>
  <headerFooter>
    <oddHeader>&amp;R&amp;P. leht &amp;N&amp; -st</oddHead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P306"/>
  <sheetViews>
    <sheetView showGridLines="0" showRowColHeaders="0" workbookViewId="0">
      <pane ySplit="1" topLeftCell="A2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1" width="3.28515625" style="377" customWidth="1"/>
    <col min="2" max="2" width="43.28515625" style="377" customWidth="1"/>
    <col min="3" max="3" width="4.7109375" style="377" customWidth="1"/>
    <col min="4" max="4" width="1.140625" style="377" customWidth="1"/>
    <col min="5" max="5" width="2.7109375" style="377" customWidth="1"/>
    <col min="6" max="6" width="9.140625" style="377"/>
    <col min="7" max="7" width="2.7109375" style="377" customWidth="1"/>
    <col min="8" max="8" width="1.140625" style="377" customWidth="1"/>
    <col min="9" max="9" width="2.7109375" style="377" customWidth="1"/>
    <col min="10" max="10" width="9.140625" style="377"/>
    <col min="11" max="11" width="2.7109375" style="377" customWidth="1"/>
    <col min="12" max="12" width="1.140625" style="377" customWidth="1"/>
    <col min="13" max="13" width="2.7109375" style="377" customWidth="1"/>
    <col min="14" max="14" width="9.140625" style="377"/>
    <col min="15" max="15" width="2.7109375" style="377" customWidth="1"/>
    <col min="16" max="16" width="1.140625" style="377" customWidth="1"/>
    <col min="17" max="17" width="2.7109375" style="377" customWidth="1"/>
    <col min="18" max="18" width="9.140625" style="377"/>
    <col min="19" max="19" width="2.7109375" style="377" hidden="1" customWidth="1"/>
    <col min="20" max="20" width="1.140625" style="377" hidden="1" customWidth="1"/>
    <col min="21" max="21" width="2.7109375" style="377" hidden="1" customWidth="1"/>
    <col min="22" max="22" width="0" style="377" hidden="1" customWidth="1"/>
    <col min="23" max="23" width="5.7109375" style="377" customWidth="1"/>
    <col min="24" max="24" width="5.5703125" style="377" customWidth="1"/>
    <col min="25" max="25" width="7.42578125" style="377" customWidth="1"/>
    <col min="26" max="26" width="2.7109375" style="377" customWidth="1"/>
    <col min="27" max="27" width="1.140625" style="377" customWidth="1"/>
    <col min="28" max="28" width="2.7109375" style="377" customWidth="1"/>
    <col min="29" max="29" width="4.7109375" style="377" customWidth="1"/>
    <col min="30" max="31" width="9.140625" style="377" hidden="1" customWidth="1"/>
    <col min="32" max="32" width="14" style="377" hidden="1" customWidth="1"/>
    <col min="33" max="33" width="9.140625" style="377" hidden="1" customWidth="1"/>
    <col min="34" max="34" width="30.28515625" style="377" hidden="1" customWidth="1"/>
    <col min="35" max="35" width="9.140625" style="377" hidden="1" customWidth="1"/>
    <col min="36" max="36" width="17.28515625" style="377" hidden="1" customWidth="1"/>
    <col min="37" max="37" width="9.140625" style="377" hidden="1" customWidth="1"/>
    <col min="38" max="38" width="14.85546875" style="377" hidden="1" customWidth="1"/>
    <col min="39" max="39" width="9.140625" style="377" hidden="1" customWidth="1"/>
    <col min="40" max="40" width="17.28515625" style="377" hidden="1" customWidth="1"/>
    <col min="41" max="41" width="9.140625" style="377" hidden="1" customWidth="1"/>
    <col min="42" max="42" width="13.85546875" style="377" hidden="1" customWidth="1"/>
    <col min="43" max="16384" width="9.140625" style="377"/>
  </cols>
  <sheetData>
    <row r="1" spans="1:42" x14ac:dyDescent="0.2">
      <c r="A1" s="376" t="str">
        <f>UPPER((Kalend!E37)&amp;" - "&amp;(Kalend!C37))&amp;" - "&amp;LOWER(Kalend!D37)&amp;" - "&amp;(Kalend!A37)&amp;" kell "&amp;(Kalend!B37)&amp;" - "&amp;(Kalend!F37)</f>
        <v>TMV-T - TOILA VALLA LAHTISED MV - trio - L, 30.09.2023 kell 11:00 - Voka staadion</v>
      </c>
      <c r="O1" s="378"/>
      <c r="P1" s="378"/>
      <c r="Q1" s="379"/>
      <c r="R1" s="379"/>
      <c r="S1" s="379"/>
      <c r="T1" s="380"/>
      <c r="U1" s="380"/>
      <c r="V1" s="380"/>
      <c r="W1" s="378"/>
      <c r="X1" s="381"/>
      <c r="Y1" s="378"/>
      <c r="Z1" s="378"/>
      <c r="AD1" s="382" t="s">
        <v>133</v>
      </c>
      <c r="AE1" s="383"/>
      <c r="AF1" s="383"/>
      <c r="AG1" s="383"/>
      <c r="AH1" s="383"/>
      <c r="AI1" s="383"/>
      <c r="AJ1" s="383"/>
      <c r="AK1" s="383"/>
      <c r="AL1" s="383"/>
      <c r="AM1" s="383"/>
      <c r="AN1" s="383"/>
      <c r="AO1" s="384"/>
      <c r="AP1" s="384"/>
    </row>
    <row r="2" spans="1:42" x14ac:dyDescent="0.2">
      <c r="A2" s="385"/>
      <c r="F2" s="378"/>
      <c r="L2" s="386"/>
      <c r="M2" s="386"/>
      <c r="N2" s="386"/>
      <c r="O2" s="378"/>
      <c r="P2" s="378"/>
      <c r="Q2" s="378"/>
      <c r="R2" s="387" t="s">
        <v>292</v>
      </c>
      <c r="S2" s="378"/>
      <c r="T2" s="386"/>
      <c r="U2" s="386"/>
      <c r="V2" s="386"/>
      <c r="W2" s="388">
        <v>1</v>
      </c>
      <c r="X2" s="389" t="s">
        <v>293</v>
      </c>
      <c r="Y2" s="378"/>
      <c r="Z2" s="378"/>
      <c r="AA2" s="378"/>
      <c r="AB2" s="378"/>
      <c r="AE2" s="378"/>
      <c r="AG2" s="378"/>
      <c r="AH2" s="378"/>
      <c r="AI2" s="378"/>
      <c r="AJ2" s="378"/>
      <c r="AK2" s="378"/>
      <c r="AL2" s="378"/>
      <c r="AM2" s="378"/>
      <c r="AN2" s="378"/>
    </row>
    <row r="3" spans="1:42" x14ac:dyDescent="0.2">
      <c r="A3" s="385"/>
      <c r="F3" s="378"/>
      <c r="L3" s="378"/>
      <c r="M3" s="378"/>
      <c r="N3" s="378"/>
      <c r="O3" s="378"/>
      <c r="P3" s="378"/>
      <c r="Q3" s="378"/>
      <c r="R3" s="390" t="s">
        <v>294</v>
      </c>
      <c r="S3" s="378"/>
      <c r="T3" s="378"/>
      <c r="U3" s="378"/>
      <c r="V3" s="378"/>
      <c r="W3" s="388">
        <v>0.5</v>
      </c>
      <c r="X3" s="389" t="s">
        <v>293</v>
      </c>
      <c r="Y3" s="378"/>
      <c r="Z3" s="378"/>
      <c r="AA3" s="378"/>
      <c r="AB3" s="378"/>
      <c r="AE3" s="386"/>
      <c r="AF3" s="386"/>
      <c r="AG3" s="386"/>
      <c r="AH3" s="391"/>
      <c r="AI3" s="386"/>
      <c r="AJ3" s="386"/>
      <c r="AK3" s="386"/>
      <c r="AL3" s="386"/>
      <c r="AM3" s="386"/>
      <c r="AN3" s="386"/>
      <c r="AO3" s="386"/>
      <c r="AP3" s="386"/>
    </row>
    <row r="4" spans="1:42" x14ac:dyDescent="0.2">
      <c r="F4" s="378"/>
      <c r="L4" s="378"/>
      <c r="M4" s="378"/>
      <c r="N4" s="378"/>
      <c r="O4" s="378"/>
      <c r="P4" s="378"/>
      <c r="Q4" s="378"/>
      <c r="R4" s="392" t="s">
        <v>295</v>
      </c>
      <c r="S4" s="378"/>
      <c r="T4" s="378"/>
      <c r="U4" s="378"/>
      <c r="V4" s="378"/>
      <c r="W4" s="388">
        <v>0</v>
      </c>
      <c r="X4" s="389" t="s">
        <v>293</v>
      </c>
      <c r="Y4" s="378"/>
      <c r="Z4" s="378"/>
      <c r="AA4" s="378"/>
      <c r="AB4" s="378"/>
    </row>
    <row r="5" spans="1:42" x14ac:dyDescent="0.2">
      <c r="F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W5" s="378"/>
      <c r="X5" s="378"/>
      <c r="Y5" s="378"/>
      <c r="Z5" s="378"/>
      <c r="AA5" s="378"/>
      <c r="AB5" s="393" t="s">
        <v>296</v>
      </c>
      <c r="AD5" s="394" t="s">
        <v>297</v>
      </c>
    </row>
    <row r="6" spans="1:42" x14ac:dyDescent="0.2">
      <c r="A6" s="395" t="s">
        <v>157</v>
      </c>
      <c r="B6" s="395" t="s">
        <v>156</v>
      </c>
      <c r="C6" s="396" t="s">
        <v>298</v>
      </c>
      <c r="D6" s="397"/>
      <c r="E6" s="397"/>
      <c r="F6" s="398"/>
      <c r="G6" s="396" t="s">
        <v>299</v>
      </c>
      <c r="H6" s="397"/>
      <c r="I6" s="397"/>
      <c r="J6" s="398"/>
      <c r="K6" s="396" t="s">
        <v>300</v>
      </c>
      <c r="L6" s="397"/>
      <c r="M6" s="397"/>
      <c r="N6" s="398"/>
      <c r="O6" s="396" t="s">
        <v>301</v>
      </c>
      <c r="P6" s="397"/>
      <c r="Q6" s="397"/>
      <c r="R6" s="398"/>
      <c r="S6" s="396" t="s">
        <v>302</v>
      </c>
      <c r="T6" s="397"/>
      <c r="U6" s="397"/>
      <c r="V6" s="398"/>
      <c r="W6" s="395" t="s">
        <v>142</v>
      </c>
      <c r="X6" s="399" t="s">
        <v>303</v>
      </c>
      <c r="Y6" s="395" t="s">
        <v>304</v>
      </c>
      <c r="Z6" s="399"/>
      <c r="AA6" s="400" t="s">
        <v>305</v>
      </c>
      <c r="AB6" s="401"/>
      <c r="AC6" s="402" t="s">
        <v>306</v>
      </c>
      <c r="AD6" s="403" t="s">
        <v>261</v>
      </c>
      <c r="AE6" s="404"/>
      <c r="AF6" s="404" t="s">
        <v>307</v>
      </c>
      <c r="AG6" s="404"/>
      <c r="AH6" s="405" t="s">
        <v>308</v>
      </c>
      <c r="AI6" s="404"/>
      <c r="AJ6" s="404" t="s">
        <v>309</v>
      </c>
      <c r="AK6" s="406"/>
      <c r="AL6" s="404" t="s">
        <v>310</v>
      </c>
      <c r="AM6" s="406"/>
      <c r="AN6" s="406" t="s">
        <v>311</v>
      </c>
      <c r="AO6" s="407"/>
      <c r="AP6" s="406" t="s">
        <v>312</v>
      </c>
    </row>
    <row r="7" spans="1:42" x14ac:dyDescent="0.2">
      <c r="A7" s="408">
        <v>1</v>
      </c>
      <c r="B7" s="409" t="s">
        <v>463</v>
      </c>
      <c r="C7" s="410">
        <v>13</v>
      </c>
      <c r="D7" s="411" t="s">
        <v>313</v>
      </c>
      <c r="E7" s="411">
        <v>6</v>
      </c>
      <c r="F7" s="412" t="s">
        <v>464</v>
      </c>
      <c r="G7" s="410">
        <v>13</v>
      </c>
      <c r="H7" s="411" t="s">
        <v>313</v>
      </c>
      <c r="I7" s="411">
        <v>10</v>
      </c>
      <c r="J7" s="412" t="s">
        <v>465</v>
      </c>
      <c r="K7" s="410">
        <v>13</v>
      </c>
      <c r="L7" s="411" t="s">
        <v>313</v>
      </c>
      <c r="M7" s="411">
        <v>5</v>
      </c>
      <c r="N7" s="412" t="s">
        <v>466</v>
      </c>
      <c r="O7" s="410">
        <v>6</v>
      </c>
      <c r="P7" s="411" t="s">
        <v>313</v>
      </c>
      <c r="Q7" s="411">
        <v>13</v>
      </c>
      <c r="R7" s="412" t="s">
        <v>467</v>
      </c>
      <c r="S7" s="410"/>
      <c r="T7" s="411"/>
      <c r="U7" s="411"/>
      <c r="V7" s="412"/>
      <c r="W7" s="413">
        <f t="shared" ref="W7:W19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3</v>
      </c>
      <c r="X7" s="414">
        <v>20</v>
      </c>
      <c r="Y7" s="414">
        <v>66</v>
      </c>
      <c r="Z7" s="410">
        <f t="shared" ref="Z7:Z19" si="1">C7+G7+K7+O7+S7</f>
        <v>45</v>
      </c>
      <c r="AA7" s="411" t="s">
        <v>313</v>
      </c>
      <c r="AB7" s="415">
        <f t="shared" ref="AB7:AB19" si="2">E7+I7+M7+Q7+U7</f>
        <v>34</v>
      </c>
      <c r="AC7" s="416">
        <f t="shared" ref="AC7:AC19" si="3">Z7-AB7</f>
        <v>11</v>
      </c>
      <c r="AD7" s="417">
        <f t="shared" ref="AD7:AD10" si="4">SUM(AE7:AL7)</f>
        <v>326</v>
      </c>
      <c r="AE7" s="418">
        <f>IFERROR(INDEX(V!$R:$R,MATCH(AF7,V!$L:$L,0)),"")</f>
        <v>62</v>
      </c>
      <c r="AF7" s="419" t="str">
        <f t="shared" ref="AF7:AF19" si="5">IFERROR(LEFT($B7,(FIND(",",$B7,1)-1)),"")</f>
        <v>Boriss Klubov</v>
      </c>
      <c r="AG7" s="418" t="str">
        <f>IFERROR(INDEX(V!$R:$R,MATCH(AH7,V!$L:$L,0)),"")</f>
        <v/>
      </c>
      <c r="AH7" s="419" t="str">
        <f t="shared" ref="AH7:AH19" si="6">IFERROR(MID($B7,FIND(", ",$B7)+2,256),"")</f>
        <v>Elmo Lageda, Enn Tokman</v>
      </c>
      <c r="AI7" s="418">
        <f>IFERROR(INDEX(V!$R:$R,MATCH(AJ7,V!$L:$L,0)),"")</f>
        <v>114</v>
      </c>
      <c r="AJ7" s="419" t="str">
        <f t="shared" ref="AJ7:AJ19" si="7">IFERROR(MID($B7,FIND("^",SUBSTITUTE($B7,", ","^",1))+2,FIND("^",SUBSTITUTE($B7,", ","^",2))-FIND("^",SUBSTITUTE($B7,", ","^",1))-2),"")</f>
        <v>Elmo Lageda</v>
      </c>
      <c r="AK7" s="418">
        <f>IFERROR(INDEX(V!$R:$R,MATCH(AL7,V!$L:$L,0)),"")</f>
        <v>150</v>
      </c>
      <c r="AL7" s="419" t="str">
        <f t="shared" ref="AL7:AL19" si="8">IFERROR(MID($B7,FIND(", ",$B7,FIND(", ",$B7,FIND(", ",$B7))+1)+2,30000),"")</f>
        <v>Enn Tokman</v>
      </c>
      <c r="AM7" s="418" t="str">
        <f>IFERROR(INDEX(V!$R:$R,MATCH(AN7,V!$L:$L,0)),"")</f>
        <v/>
      </c>
      <c r="AN7" s="419" t="str">
        <f t="shared" ref="AN7:AN19" si="9">IFERROR(MID($B7,FIND(", ",$B7,FIND(", ",$B7)+1)+2,FIND(", ",$B7,FIND(", ",$B7,FIND(", ",$B7)+1)+1)-FIND(", ",$B7,FIND(", ",$B7)+1)-2),"")</f>
        <v/>
      </c>
      <c r="AO7" s="418" t="str">
        <f>IFERROR(INDEX(V!$R:$R,MATCH(AP7,V!$L:$L,0)),"")</f>
        <v/>
      </c>
      <c r="AP7" s="419" t="str">
        <f t="shared" ref="AP7:AP19" si="10">IFERROR(MID($B7,FIND(", ",$B7,FIND(", ",$B7,FIND(", ",$B7)+1)+1)+2,30000),"")</f>
        <v/>
      </c>
    </row>
    <row r="8" spans="1:42" x14ac:dyDescent="0.2">
      <c r="A8" s="408">
        <v>2</v>
      </c>
      <c r="B8" s="420" t="s">
        <v>465</v>
      </c>
      <c r="C8" s="410">
        <v>13</v>
      </c>
      <c r="D8" s="411" t="s">
        <v>313</v>
      </c>
      <c r="E8" s="411">
        <v>1</v>
      </c>
      <c r="F8" s="412" t="s">
        <v>468</v>
      </c>
      <c r="G8" s="410">
        <v>10</v>
      </c>
      <c r="H8" s="411" t="s">
        <v>313</v>
      </c>
      <c r="I8" s="411">
        <v>13</v>
      </c>
      <c r="J8" s="412" t="s">
        <v>463</v>
      </c>
      <c r="K8" s="410">
        <v>13</v>
      </c>
      <c r="L8" s="411" t="s">
        <v>313</v>
      </c>
      <c r="M8" s="411">
        <v>9</v>
      </c>
      <c r="N8" s="412" t="s">
        <v>469</v>
      </c>
      <c r="O8" s="410">
        <v>13</v>
      </c>
      <c r="P8" s="411" t="s">
        <v>313</v>
      </c>
      <c r="Q8" s="411">
        <v>3</v>
      </c>
      <c r="R8" s="412" t="s">
        <v>466</v>
      </c>
      <c r="S8" s="410"/>
      <c r="T8" s="411"/>
      <c r="U8" s="411"/>
      <c r="V8" s="412"/>
      <c r="W8" s="413">
        <f t="shared" si="0"/>
        <v>3</v>
      </c>
      <c r="X8" s="414">
        <v>16</v>
      </c>
      <c r="Y8" s="414">
        <v>66</v>
      </c>
      <c r="Z8" s="410">
        <f t="shared" si="1"/>
        <v>49</v>
      </c>
      <c r="AA8" s="411" t="s">
        <v>313</v>
      </c>
      <c r="AB8" s="415">
        <f t="shared" si="2"/>
        <v>26</v>
      </c>
      <c r="AC8" s="416">
        <f t="shared" si="3"/>
        <v>23</v>
      </c>
      <c r="AD8" s="417">
        <f t="shared" si="4"/>
        <v>88</v>
      </c>
      <c r="AE8" s="418">
        <f>IFERROR(INDEX(V!$R:$R,MATCH(AF8,V!$L:$L,0)),"")</f>
        <v>32</v>
      </c>
      <c r="AF8" s="419" t="str">
        <f t="shared" si="5"/>
        <v>Jaan Sepp</v>
      </c>
      <c r="AG8" s="418" t="str">
        <f>IFERROR(INDEX(V!$R:$R,MATCH(AH8,V!$L:$L,0)),"")</f>
        <v/>
      </c>
      <c r="AH8" s="419" t="str">
        <f t="shared" si="6"/>
        <v>Meelis Luud, Oskar Sepp</v>
      </c>
      <c r="AI8" s="418">
        <f>IFERROR(INDEX(V!$R:$R,MATCH(AJ8,V!$L:$L,0)),"")</f>
        <v>46</v>
      </c>
      <c r="AJ8" s="419" t="str">
        <f t="shared" si="7"/>
        <v>Meelis Luud</v>
      </c>
      <c r="AK8" s="418">
        <f>IFERROR(INDEX(V!$R:$R,MATCH(AL8,V!$L:$L,0)),"")</f>
        <v>10</v>
      </c>
      <c r="AL8" s="419" t="str">
        <f t="shared" si="8"/>
        <v>Oskar Sepp</v>
      </c>
      <c r="AM8" s="418" t="str">
        <f>IFERROR(INDEX(V!$R:$R,MATCH(AN8,V!$L:$L,0)),"")</f>
        <v/>
      </c>
      <c r="AN8" s="419" t="str">
        <f t="shared" si="9"/>
        <v/>
      </c>
      <c r="AO8" s="418" t="str">
        <f>IFERROR(INDEX(V!$R:$R,MATCH(AP8,V!$L:$L,0)),"")</f>
        <v/>
      </c>
      <c r="AP8" s="419" t="str">
        <f t="shared" si="10"/>
        <v/>
      </c>
    </row>
    <row r="9" spans="1:42" x14ac:dyDescent="0.2">
      <c r="A9" s="408">
        <v>3</v>
      </c>
      <c r="B9" s="421" t="s">
        <v>467</v>
      </c>
      <c r="C9" s="410">
        <v>8</v>
      </c>
      <c r="D9" s="411" t="s">
        <v>313</v>
      </c>
      <c r="E9" s="411">
        <v>13</v>
      </c>
      <c r="F9" s="412" t="s">
        <v>466</v>
      </c>
      <c r="G9" s="410">
        <v>13</v>
      </c>
      <c r="H9" s="411" t="s">
        <v>313</v>
      </c>
      <c r="I9" s="411">
        <v>7</v>
      </c>
      <c r="J9" s="412" t="s">
        <v>315</v>
      </c>
      <c r="K9" s="410">
        <v>13</v>
      </c>
      <c r="L9" s="411" t="s">
        <v>313</v>
      </c>
      <c r="M9" s="411">
        <v>10</v>
      </c>
      <c r="N9" s="412" t="s">
        <v>464</v>
      </c>
      <c r="O9" s="410">
        <v>13</v>
      </c>
      <c r="P9" s="411" t="s">
        <v>313</v>
      </c>
      <c r="Q9" s="411">
        <v>6</v>
      </c>
      <c r="R9" s="412" t="s">
        <v>463</v>
      </c>
      <c r="S9" s="410"/>
      <c r="T9" s="411"/>
      <c r="U9" s="411"/>
      <c r="V9" s="412"/>
      <c r="W9" s="413">
        <f t="shared" si="0"/>
        <v>3</v>
      </c>
      <c r="X9" s="414">
        <v>14</v>
      </c>
      <c r="Y9" s="414">
        <v>72</v>
      </c>
      <c r="Z9" s="410">
        <f t="shared" si="1"/>
        <v>47</v>
      </c>
      <c r="AA9" s="411" t="s">
        <v>313</v>
      </c>
      <c r="AB9" s="415">
        <f t="shared" si="2"/>
        <v>36</v>
      </c>
      <c r="AC9" s="416">
        <f t="shared" si="3"/>
        <v>11</v>
      </c>
      <c r="AD9" s="417">
        <f t="shared" si="4"/>
        <v>460</v>
      </c>
      <c r="AE9" s="418">
        <f>IFERROR(INDEX(V!$R:$R,MATCH(AF9,V!$L:$L,0)),"")</f>
        <v>152</v>
      </c>
      <c r="AF9" s="419" t="str">
        <f t="shared" si="5"/>
        <v>Andrei Grintšak</v>
      </c>
      <c r="AG9" s="418" t="str">
        <f>IFERROR(INDEX(V!$R:$R,MATCH(AH9,V!$L:$L,0)),"")</f>
        <v/>
      </c>
      <c r="AH9" s="419" t="str">
        <f t="shared" si="6"/>
        <v>Kristel Tihhonjuk, Vadim Tihhonjuk</v>
      </c>
      <c r="AI9" s="418">
        <f>IFERROR(INDEX(V!$R:$R,MATCH(AJ9,V!$L:$L,0)),"")</f>
        <v>154</v>
      </c>
      <c r="AJ9" s="419" t="str">
        <f t="shared" si="7"/>
        <v>Kristel Tihhonjuk</v>
      </c>
      <c r="AK9" s="418">
        <f>IFERROR(INDEX(V!$R:$R,MATCH(AL9,V!$L:$L,0)),"")</f>
        <v>154</v>
      </c>
      <c r="AL9" s="419" t="str">
        <f t="shared" si="8"/>
        <v>Vadim Tihhonjuk</v>
      </c>
      <c r="AM9" s="418" t="str">
        <f>IFERROR(INDEX(V!$R:$R,MATCH(AN9,V!$L:$L,0)),"")</f>
        <v/>
      </c>
      <c r="AN9" s="419" t="str">
        <f t="shared" si="9"/>
        <v/>
      </c>
      <c r="AO9" s="418" t="str">
        <f>IFERROR(INDEX(V!$R:$R,MATCH(AP9,V!$L:$L,0)),"")</f>
        <v/>
      </c>
      <c r="AP9" s="419" t="str">
        <f t="shared" si="10"/>
        <v/>
      </c>
    </row>
    <row r="10" spans="1:42" x14ac:dyDescent="0.2">
      <c r="A10" s="408">
        <v>4</v>
      </c>
      <c r="B10" s="421" t="s">
        <v>466</v>
      </c>
      <c r="C10" s="410">
        <v>13</v>
      </c>
      <c r="D10" s="411" t="s">
        <v>313</v>
      </c>
      <c r="E10" s="411">
        <v>8</v>
      </c>
      <c r="F10" s="412" t="s">
        <v>467</v>
      </c>
      <c r="G10" s="410">
        <v>13</v>
      </c>
      <c r="H10" s="411" t="s">
        <v>313</v>
      </c>
      <c r="I10" s="411">
        <v>10</v>
      </c>
      <c r="J10" s="412" t="s">
        <v>469</v>
      </c>
      <c r="K10" s="410">
        <v>5</v>
      </c>
      <c r="L10" s="411" t="s">
        <v>313</v>
      </c>
      <c r="M10" s="411">
        <v>13</v>
      </c>
      <c r="N10" s="412" t="s">
        <v>463</v>
      </c>
      <c r="O10" s="410">
        <v>3</v>
      </c>
      <c r="P10" s="411" t="s">
        <v>313</v>
      </c>
      <c r="Q10" s="411">
        <v>13</v>
      </c>
      <c r="R10" s="412" t="s">
        <v>465</v>
      </c>
      <c r="S10" s="410"/>
      <c r="T10" s="411"/>
      <c r="U10" s="411"/>
      <c r="V10" s="412"/>
      <c r="W10" s="413">
        <f t="shared" si="0"/>
        <v>2</v>
      </c>
      <c r="X10" s="414">
        <v>20</v>
      </c>
      <c r="Y10" s="414">
        <v>64</v>
      </c>
      <c r="Z10" s="410">
        <f t="shared" si="1"/>
        <v>34</v>
      </c>
      <c r="AA10" s="411" t="s">
        <v>313</v>
      </c>
      <c r="AB10" s="415">
        <f t="shared" si="2"/>
        <v>44</v>
      </c>
      <c r="AC10" s="416">
        <f t="shared" si="3"/>
        <v>-10</v>
      </c>
      <c r="AD10" s="417">
        <f t="shared" si="4"/>
        <v>362</v>
      </c>
      <c r="AE10" s="418">
        <f>IFERROR(INDEX(V!$R:$R,MATCH(AF10,V!$L:$L,0)),"")</f>
        <v>142</v>
      </c>
      <c r="AF10" s="419" t="str">
        <f t="shared" si="5"/>
        <v>Olav Türk</v>
      </c>
      <c r="AG10" s="418" t="str">
        <f>IFERROR(INDEX(V!$R:$R,MATCH(AH10,V!$L:$L,0)),"")</f>
        <v/>
      </c>
      <c r="AH10" s="419" t="str">
        <f t="shared" si="6"/>
        <v>Sander Rose, Sirje Maala</v>
      </c>
      <c r="AI10" s="418">
        <f>IFERROR(INDEX(V!$R:$R,MATCH(AJ10,V!$L:$L,0)),"")</f>
        <v>166</v>
      </c>
      <c r="AJ10" s="419" t="str">
        <f t="shared" si="7"/>
        <v>Sander Rose</v>
      </c>
      <c r="AK10" s="418">
        <f>IFERROR(INDEX(V!$R:$R,MATCH(AL10,V!$L:$L,0)),"")</f>
        <v>54</v>
      </c>
      <c r="AL10" s="419" t="str">
        <f t="shared" si="8"/>
        <v>Sirje Maala</v>
      </c>
      <c r="AM10" s="418" t="str">
        <f>IFERROR(INDEX(V!$R:$R,MATCH(AN10,V!$L:$L,0)),"")</f>
        <v/>
      </c>
      <c r="AN10" s="419" t="str">
        <f t="shared" si="9"/>
        <v/>
      </c>
      <c r="AO10" s="418" t="str">
        <f>IFERROR(INDEX(V!$R:$R,MATCH(AP10,V!$L:$L,0)),"")</f>
        <v/>
      </c>
      <c r="AP10" s="419" t="str">
        <f t="shared" si="10"/>
        <v/>
      </c>
    </row>
    <row r="11" spans="1:42" x14ac:dyDescent="0.2">
      <c r="A11" s="408">
        <v>5</v>
      </c>
      <c r="B11" s="420" t="s">
        <v>464</v>
      </c>
      <c r="C11" s="410">
        <v>6</v>
      </c>
      <c r="D11" s="411" t="s">
        <v>313</v>
      </c>
      <c r="E11" s="411">
        <v>13</v>
      </c>
      <c r="F11" s="412" t="s">
        <v>463</v>
      </c>
      <c r="G11" s="410">
        <v>13</v>
      </c>
      <c r="H11" s="411" t="s">
        <v>313</v>
      </c>
      <c r="I11" s="411">
        <v>8</v>
      </c>
      <c r="J11" s="412" t="s">
        <v>468</v>
      </c>
      <c r="K11" s="410">
        <v>10</v>
      </c>
      <c r="L11" s="411" t="s">
        <v>313</v>
      </c>
      <c r="M11" s="411">
        <v>13</v>
      </c>
      <c r="N11" s="412" t="s">
        <v>467</v>
      </c>
      <c r="O11" s="410">
        <v>13</v>
      </c>
      <c r="P11" s="411" t="s">
        <v>313</v>
      </c>
      <c r="Q11" s="411">
        <v>7</v>
      </c>
      <c r="R11" s="412" t="s">
        <v>315</v>
      </c>
      <c r="S11" s="410"/>
      <c r="T11" s="411"/>
      <c r="U11" s="411"/>
      <c r="V11" s="412"/>
      <c r="W11" s="413">
        <f t="shared" si="0"/>
        <v>2</v>
      </c>
      <c r="X11" s="414">
        <v>16</v>
      </c>
      <c r="Y11" s="414">
        <v>62</v>
      </c>
      <c r="Z11" s="410">
        <f t="shared" si="1"/>
        <v>42</v>
      </c>
      <c r="AA11" s="411" t="s">
        <v>313</v>
      </c>
      <c r="AB11" s="415">
        <f t="shared" si="2"/>
        <v>41</v>
      </c>
      <c r="AC11" s="416">
        <f t="shared" si="3"/>
        <v>1</v>
      </c>
      <c r="AD11" s="417">
        <f t="shared" ref="AD11:AD13" si="11">SUM(AE11:AL11)</f>
        <v>344</v>
      </c>
      <c r="AE11" s="418">
        <f>IFERROR(INDEX(V!$R:$R,MATCH(AF11,V!$L:$L,0)),"")</f>
        <v>132</v>
      </c>
      <c r="AF11" s="419" t="str">
        <f t="shared" si="5"/>
        <v>Ivar Viljaste</v>
      </c>
      <c r="AG11" s="418" t="str">
        <f>IFERROR(INDEX(V!$R:$R,MATCH(AH11,V!$L:$L,0)),"")</f>
        <v/>
      </c>
      <c r="AH11" s="419" t="str">
        <f t="shared" si="6"/>
        <v>Kaspar Mänd, Matti Vinni</v>
      </c>
      <c r="AI11" s="418">
        <f>IFERROR(INDEX(V!$R:$R,MATCH(AJ11,V!$L:$L,0)),"")</f>
        <v>130</v>
      </c>
      <c r="AJ11" s="419" t="str">
        <f t="shared" si="7"/>
        <v>Kaspar Mänd</v>
      </c>
      <c r="AK11" s="418">
        <f>IFERROR(INDEX(V!$R:$R,MATCH(AL11,V!$L:$L,0)),"")</f>
        <v>82</v>
      </c>
      <c r="AL11" s="419" t="str">
        <f t="shared" si="8"/>
        <v>Matti Vinni</v>
      </c>
      <c r="AM11" s="418" t="str">
        <f>IFERROR(INDEX(V!$R:$R,MATCH(AN11,V!$L:$L,0)),"")</f>
        <v/>
      </c>
      <c r="AN11" s="419" t="str">
        <f t="shared" si="9"/>
        <v/>
      </c>
      <c r="AO11" s="418" t="str">
        <f>IFERROR(INDEX(V!$R:$R,MATCH(AP11,V!$L:$L,0)),"")</f>
        <v/>
      </c>
      <c r="AP11" s="419" t="str">
        <f t="shared" si="10"/>
        <v/>
      </c>
    </row>
    <row r="12" spans="1:42" x14ac:dyDescent="0.2">
      <c r="A12" s="408">
        <v>6</v>
      </c>
      <c r="B12" s="421" t="s">
        <v>468</v>
      </c>
      <c r="C12" s="410">
        <v>1</v>
      </c>
      <c r="D12" s="411" t="s">
        <v>313</v>
      </c>
      <c r="E12" s="411">
        <v>13</v>
      </c>
      <c r="F12" s="412" t="s">
        <v>465</v>
      </c>
      <c r="G12" s="410">
        <v>8</v>
      </c>
      <c r="H12" s="411" t="s">
        <v>313</v>
      </c>
      <c r="I12" s="411">
        <v>13</v>
      </c>
      <c r="J12" s="412" t="s">
        <v>464</v>
      </c>
      <c r="K12" s="410">
        <v>13</v>
      </c>
      <c r="L12" s="411" t="s">
        <v>313</v>
      </c>
      <c r="M12" s="411">
        <v>7</v>
      </c>
      <c r="N12" s="412" t="s">
        <v>315</v>
      </c>
      <c r="O12" s="410">
        <v>13</v>
      </c>
      <c r="P12" s="411" t="s">
        <v>313</v>
      </c>
      <c r="Q12" s="411">
        <v>2</v>
      </c>
      <c r="R12" s="412" t="s">
        <v>469</v>
      </c>
      <c r="S12" s="410"/>
      <c r="T12" s="411"/>
      <c r="U12" s="411"/>
      <c r="V12" s="412"/>
      <c r="W12" s="413">
        <f t="shared" si="0"/>
        <v>2</v>
      </c>
      <c r="X12" s="414">
        <v>12</v>
      </c>
      <c r="Y12" s="414">
        <v>62</v>
      </c>
      <c r="Z12" s="410">
        <f t="shared" si="1"/>
        <v>35</v>
      </c>
      <c r="AA12" s="411" t="s">
        <v>313</v>
      </c>
      <c r="AB12" s="415">
        <f t="shared" si="2"/>
        <v>35</v>
      </c>
      <c r="AC12" s="416">
        <f t="shared" si="3"/>
        <v>0</v>
      </c>
      <c r="AD12" s="417">
        <f t="shared" si="11"/>
        <v>234</v>
      </c>
      <c r="AE12" s="418">
        <f>IFERROR(INDEX(V!$R:$R,MATCH(AF12,V!$L:$L,0)),"")</f>
        <v>132</v>
      </c>
      <c r="AF12" s="419" t="str">
        <f t="shared" si="5"/>
        <v>Andres Veski</v>
      </c>
      <c r="AG12" s="418" t="str">
        <f>IFERROR(INDEX(V!$R:$R,MATCH(AH12,V!$L:$L,0)),"")</f>
        <v/>
      </c>
      <c r="AH12" s="419" t="str">
        <f t="shared" si="6"/>
        <v>Marta Bernat, Svetlana Veski</v>
      </c>
      <c r="AI12" s="418">
        <f>IFERROR(INDEX(V!$R:$R,MATCH(AJ12,V!$L:$L,0)),"")</f>
        <v>0</v>
      </c>
      <c r="AJ12" s="419" t="str">
        <f t="shared" si="7"/>
        <v>Marta Bernat</v>
      </c>
      <c r="AK12" s="418">
        <f>IFERROR(INDEX(V!$R:$R,MATCH(AL12,V!$L:$L,0)),"")</f>
        <v>102</v>
      </c>
      <c r="AL12" s="419" t="str">
        <f t="shared" si="8"/>
        <v>Svetlana Veski</v>
      </c>
      <c r="AM12" s="418" t="str">
        <f>IFERROR(INDEX(V!$R:$R,MATCH(AN12,V!$L:$L,0)),"")</f>
        <v/>
      </c>
      <c r="AN12" s="419" t="str">
        <f t="shared" si="9"/>
        <v/>
      </c>
      <c r="AO12" s="418" t="str">
        <f>IFERROR(INDEX(V!$R:$R,MATCH(AP12,V!$L:$L,0)),"")</f>
        <v/>
      </c>
      <c r="AP12" s="419" t="str">
        <f t="shared" si="10"/>
        <v/>
      </c>
    </row>
    <row r="13" spans="1:42" x14ac:dyDescent="0.2">
      <c r="A13" s="408">
        <v>7</v>
      </c>
      <c r="B13" s="422" t="s">
        <v>469</v>
      </c>
      <c r="C13" s="410">
        <v>13</v>
      </c>
      <c r="D13" s="411" t="s">
        <v>313</v>
      </c>
      <c r="E13" s="411">
        <v>7</v>
      </c>
      <c r="F13" s="412" t="s">
        <v>315</v>
      </c>
      <c r="G13" s="410">
        <v>10</v>
      </c>
      <c r="H13" s="411" t="s">
        <v>313</v>
      </c>
      <c r="I13" s="411">
        <v>13</v>
      </c>
      <c r="J13" s="412" t="s">
        <v>466</v>
      </c>
      <c r="K13" s="410">
        <v>9</v>
      </c>
      <c r="L13" s="411" t="s">
        <v>313</v>
      </c>
      <c r="M13" s="411">
        <v>13</v>
      </c>
      <c r="N13" s="412" t="s">
        <v>465</v>
      </c>
      <c r="O13" s="410">
        <v>2</v>
      </c>
      <c r="P13" s="411" t="s">
        <v>313</v>
      </c>
      <c r="Q13" s="411">
        <v>13</v>
      </c>
      <c r="R13" s="412" t="s">
        <v>468</v>
      </c>
      <c r="S13" s="410"/>
      <c r="T13" s="411"/>
      <c r="U13" s="411"/>
      <c r="V13" s="412"/>
      <c r="W13" s="413">
        <f t="shared" si="0"/>
        <v>1</v>
      </c>
      <c r="X13" s="414">
        <v>14</v>
      </c>
      <c r="Y13" s="414">
        <v>64</v>
      </c>
      <c r="Z13" s="410">
        <f t="shared" si="1"/>
        <v>34</v>
      </c>
      <c r="AA13" s="411" t="s">
        <v>313</v>
      </c>
      <c r="AB13" s="415">
        <f t="shared" si="2"/>
        <v>46</v>
      </c>
      <c r="AC13" s="416">
        <f t="shared" si="3"/>
        <v>-12</v>
      </c>
      <c r="AD13" s="417">
        <f t="shared" si="11"/>
        <v>342</v>
      </c>
      <c r="AE13" s="418">
        <f>IFERROR(INDEX(V!$R:$R,MATCH(AF13,V!$L:$L,0)),"")</f>
        <v>116</v>
      </c>
      <c r="AF13" s="419" t="str">
        <f t="shared" si="5"/>
        <v>Jaan Saar</v>
      </c>
      <c r="AG13" s="418" t="str">
        <f>IFERROR(INDEX(V!$R:$R,MATCH(AH13,V!$L:$L,0)),"")</f>
        <v/>
      </c>
      <c r="AH13" s="419" t="str">
        <f t="shared" si="6"/>
        <v>Ljudmila Varendi, Viktor Švarõgin</v>
      </c>
      <c r="AI13" s="418">
        <f>IFERROR(INDEX(V!$R:$R,MATCH(AJ13,V!$L:$L,0)),"")</f>
        <v>102</v>
      </c>
      <c r="AJ13" s="419" t="str">
        <f t="shared" si="7"/>
        <v>Ljudmila Varendi</v>
      </c>
      <c r="AK13" s="418">
        <f>IFERROR(INDEX(V!$R:$R,MATCH(AL13,V!$L:$L,0)),"")</f>
        <v>124</v>
      </c>
      <c r="AL13" s="419" t="str">
        <f t="shared" si="8"/>
        <v>Viktor Švarõgin</v>
      </c>
      <c r="AM13" s="418" t="str">
        <f>IFERROR(INDEX(V!$R:$R,MATCH(AN13,V!$L:$L,0)),"")</f>
        <v/>
      </c>
      <c r="AN13" s="419" t="str">
        <f t="shared" si="9"/>
        <v/>
      </c>
      <c r="AO13" s="418" t="str">
        <f>IFERROR(INDEX(V!$R:$R,MATCH(AP13,V!$L:$L,0)),"")</f>
        <v/>
      </c>
      <c r="AP13" s="419" t="str">
        <f t="shared" si="10"/>
        <v/>
      </c>
    </row>
    <row r="16" spans="1:42" hidden="1" x14ac:dyDescent="0.2"/>
    <row r="17" hidden="1" x14ac:dyDescent="0.2"/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6" hidden="1" x14ac:dyDescent="0.2"/>
    <row r="290" spans="1:6" hidden="1" x14ac:dyDescent="0.2"/>
    <row r="291" spans="1:6" hidden="1" x14ac:dyDescent="0.2"/>
    <row r="292" spans="1:6" hidden="1" x14ac:dyDescent="0.2"/>
    <row r="293" spans="1:6" hidden="1" x14ac:dyDescent="0.2"/>
    <row r="294" spans="1:6" hidden="1" x14ac:dyDescent="0.2"/>
    <row r="295" spans="1:6" hidden="1" x14ac:dyDescent="0.2"/>
    <row r="296" spans="1:6" hidden="1" x14ac:dyDescent="0.2"/>
    <row r="297" spans="1:6" hidden="1" x14ac:dyDescent="0.2"/>
    <row r="298" spans="1:6" hidden="1" x14ac:dyDescent="0.2"/>
    <row r="299" spans="1:6" x14ac:dyDescent="0.2">
      <c r="A299" s="378"/>
      <c r="B299" s="378"/>
      <c r="C299" s="423" t="s">
        <v>316</v>
      </c>
      <c r="F299" s="424"/>
    </row>
    <row r="300" spans="1:6" x14ac:dyDescent="0.2">
      <c r="A300" s="425">
        <v>1</v>
      </c>
      <c r="B300" s="426" t="str">
        <f t="shared" ref="B300:B312" si="12">IFERROR(INDEX(B$1:B$95,MATCH(A300,A$1:A$95,0)),"")</f>
        <v>Boriss Klubov, Elmo Lageda, Enn Tokman</v>
      </c>
      <c r="C300" s="427">
        <f>LARGE(A300:A400,1)*2+2-A300*2</f>
        <v>14</v>
      </c>
      <c r="F300" s="424"/>
    </row>
    <row r="301" spans="1:6" x14ac:dyDescent="0.2">
      <c r="A301" s="425">
        <v>2</v>
      </c>
      <c r="B301" s="426" t="str">
        <f t="shared" si="12"/>
        <v>Jaan Sepp, Meelis Luud, Oskar Sepp</v>
      </c>
      <c r="C301" s="427">
        <f t="shared" ref="C301:C312" si="13">LARGE(A301:A401,1)*2+2-A301*2</f>
        <v>12</v>
      </c>
      <c r="F301" s="424"/>
    </row>
    <row r="302" spans="1:6" x14ac:dyDescent="0.2">
      <c r="A302" s="425">
        <v>3</v>
      </c>
      <c r="B302" s="426" t="str">
        <f t="shared" si="12"/>
        <v>Andrei Grintšak, Kristel Tihhonjuk, Vadim Tihhonjuk</v>
      </c>
      <c r="C302" s="427">
        <f t="shared" si="13"/>
        <v>10</v>
      </c>
      <c r="F302" s="424"/>
    </row>
    <row r="303" spans="1:6" x14ac:dyDescent="0.2">
      <c r="A303" s="425">
        <v>4</v>
      </c>
      <c r="B303" s="426" t="str">
        <f t="shared" si="12"/>
        <v>Olav Türk, Sander Rose, Sirje Maala</v>
      </c>
      <c r="C303" s="427">
        <f t="shared" si="13"/>
        <v>8</v>
      </c>
      <c r="F303" s="424"/>
    </row>
    <row r="304" spans="1:6" x14ac:dyDescent="0.2">
      <c r="A304" s="425">
        <v>5</v>
      </c>
      <c r="B304" s="426" t="str">
        <f t="shared" si="12"/>
        <v>Ivar Viljaste, Kaspar Mänd, Matti Vinni</v>
      </c>
      <c r="C304" s="427">
        <f t="shared" si="13"/>
        <v>6</v>
      </c>
      <c r="F304" s="424"/>
    </row>
    <row r="305" spans="1:6" x14ac:dyDescent="0.2">
      <c r="A305" s="425">
        <v>6</v>
      </c>
      <c r="B305" s="426" t="str">
        <f t="shared" si="12"/>
        <v>Andres Veski, Marta Bernat, Svetlana Veski</v>
      </c>
      <c r="C305" s="427">
        <f t="shared" si="13"/>
        <v>4</v>
      </c>
      <c r="F305" s="424"/>
    </row>
    <row r="306" spans="1:6" x14ac:dyDescent="0.2">
      <c r="A306" s="425">
        <v>7</v>
      </c>
      <c r="B306" s="426" t="str">
        <f t="shared" si="12"/>
        <v>Jaan Saar, Ljudmila Varendi, Viktor Švarõgin</v>
      </c>
      <c r="C306" s="427">
        <f t="shared" si="13"/>
        <v>2</v>
      </c>
      <c r="F306" s="424"/>
    </row>
  </sheetData>
  <conditionalFormatting sqref="AJ7:AJ13 AH7:AH13 AL7:AL13">
    <cfRule type="expression" dxfId="42" priority="36">
      <formula>AND(AG7="",FIND(",",AH7))</formula>
    </cfRule>
    <cfRule type="expression" dxfId="41" priority="38">
      <formula>AND(AG7="",COUNTIF(AH7,"*,*")=0)</formula>
    </cfRule>
  </conditionalFormatting>
  <conditionalFormatting sqref="AF7:AF13">
    <cfRule type="expression" dxfId="40" priority="37">
      <formula>AND(AE7="",COUNTIF(AF7,"*,*")=0)</formula>
    </cfRule>
  </conditionalFormatting>
  <conditionalFormatting sqref="AN7:AN13 AP7:AP13">
    <cfRule type="expression" dxfId="39" priority="34">
      <formula>AND(AM7="",COUNTIF(AN7,"*,*")=0)</formula>
    </cfRule>
    <cfRule type="expression" dxfId="38" priority="35">
      <formula>AND(AM7="",FIND(",",AN7))</formula>
    </cfRule>
  </conditionalFormatting>
  <conditionalFormatting sqref="B300:B306">
    <cfRule type="expression" dxfId="37" priority="39">
      <formula>A300=3</formula>
    </cfRule>
    <cfRule type="expression" dxfId="36" priority="40">
      <formula>A300=2</formula>
    </cfRule>
    <cfRule type="expression" dxfId="35" priority="41">
      <formula>A300=1</formula>
    </cfRule>
    <cfRule type="containsBlanks" dxfId="34" priority="42">
      <formula>LEN(TRIM(B300))=0</formula>
    </cfRule>
    <cfRule type="duplicateValues" dxfId="33" priority="43"/>
  </conditionalFormatting>
  <conditionalFormatting sqref="A7:A13">
    <cfRule type="duplicateValues" dxfId="32" priority="33"/>
  </conditionalFormatting>
  <conditionalFormatting sqref="C7:C13">
    <cfRule type="expression" dxfId="31" priority="15">
      <formula>IF($C7&gt;$E7,TRUE)</formula>
    </cfRule>
  </conditionalFormatting>
  <conditionalFormatting sqref="E7:E13">
    <cfRule type="expression" dxfId="30" priority="16">
      <formula>IF($C7&lt;$E7,TRUE)</formula>
    </cfRule>
  </conditionalFormatting>
  <conditionalFormatting sqref="K7:K13">
    <cfRule type="expression" dxfId="29" priority="23">
      <formula>IF($K7&gt;$M7,TRUE)</formula>
    </cfRule>
  </conditionalFormatting>
  <conditionalFormatting sqref="M7:M13">
    <cfRule type="expression" dxfId="28" priority="24">
      <formula>IF($K7&lt;$M7,TRUE)</formula>
    </cfRule>
  </conditionalFormatting>
  <conditionalFormatting sqref="O7:O13">
    <cfRule type="expression" dxfId="27" priority="27">
      <formula>IF($O7&gt;$Q7,TRUE)</formula>
    </cfRule>
  </conditionalFormatting>
  <conditionalFormatting sqref="Q7:Q13">
    <cfRule type="expression" dxfId="26" priority="28">
      <formula>IF($O7&lt;$Q7,TRUE)</formula>
    </cfRule>
  </conditionalFormatting>
  <conditionalFormatting sqref="S7:S13">
    <cfRule type="expression" dxfId="25" priority="31">
      <formula>IF($S7&gt;$U7,TRUE)</formula>
    </cfRule>
  </conditionalFormatting>
  <conditionalFormatting sqref="U7:U13">
    <cfRule type="expression" dxfId="24" priority="32">
      <formula>IF($S7&lt;$U7,TRUE)</formula>
    </cfRule>
  </conditionalFormatting>
  <conditionalFormatting sqref="G7:G13">
    <cfRule type="expression" dxfId="23" priority="19">
      <formula>IF($G7&gt;$I7,TRUE)</formula>
    </cfRule>
  </conditionalFormatting>
  <conditionalFormatting sqref="I7:I13">
    <cfRule type="expression" dxfId="22" priority="20">
      <formula>IF($G7&lt;$I7,TRUE)</formula>
    </cfRule>
  </conditionalFormatting>
  <conditionalFormatting sqref="F7:F13">
    <cfRule type="containsText" dxfId="21" priority="6" operator="containsText" text="vaba voor">
      <formula>NOT(ISERROR(SEARCH("vaba voor",F7)))</formula>
    </cfRule>
  </conditionalFormatting>
  <conditionalFormatting sqref="N7:N13">
    <cfRule type="containsText" dxfId="20" priority="4" operator="containsText" text="vaba voor">
      <formula>NOT(ISERROR(SEARCH("vaba voor",N7)))</formula>
    </cfRule>
  </conditionalFormatting>
  <conditionalFormatting sqref="R7:R13">
    <cfRule type="containsText" dxfId="19" priority="7" operator="containsText" text="vaba voor">
      <formula>NOT(ISERROR(SEARCH("vaba voor",R7)))</formula>
    </cfRule>
  </conditionalFormatting>
  <conditionalFormatting sqref="V7:V13">
    <cfRule type="containsText" dxfId="18" priority="3" operator="containsText" text="vaba voor">
      <formula>NOT(ISERROR(SEARCH("vaba voor",V7)))</formula>
    </cfRule>
  </conditionalFormatting>
  <conditionalFormatting sqref="J7:J13">
    <cfRule type="containsText" dxfId="17" priority="5" operator="containsText" text="vaba voor">
      <formula>NOT(ISERROR(SEARCH("vaba voor",J7)))</formula>
    </cfRule>
  </conditionalFormatting>
  <conditionalFormatting sqref="C7:F13">
    <cfRule type="expression" dxfId="16" priority="11">
      <formula>IF(AND(ISNUMBER($C7),$C7=$E7),TRUE)</formula>
    </cfRule>
    <cfRule type="expression" dxfId="15" priority="13">
      <formula>IF($C7&gt;$E7,TRUE)</formula>
    </cfRule>
    <cfRule type="expression" dxfId="14" priority="14">
      <formula>IF($C7&lt;$E7,TRUE)</formula>
    </cfRule>
  </conditionalFormatting>
  <conditionalFormatting sqref="G7:J13">
    <cfRule type="expression" dxfId="13" priority="12">
      <formula>IF(AND(ISNUMBER($G7),$G7=$I7),TRUE)</formula>
    </cfRule>
    <cfRule type="expression" dxfId="12" priority="17">
      <formula>IF($G7&gt;$I7,TRUE)</formula>
    </cfRule>
    <cfRule type="expression" dxfId="11" priority="18">
      <formula>IF($G7&lt;$I7,TRUE)</formula>
    </cfRule>
  </conditionalFormatting>
  <conditionalFormatting sqref="K7:N13">
    <cfRule type="expression" dxfId="10" priority="10">
      <formula>IF(AND(ISNUMBER($K7),$K7=$M7),TRUE)</formula>
    </cfRule>
    <cfRule type="expression" dxfId="9" priority="21">
      <formula>IF($K7&gt;$M7,TRUE)</formula>
    </cfRule>
    <cfRule type="expression" dxfId="8" priority="22">
      <formula>IF($K7&lt;$M7,TRUE)</formula>
    </cfRule>
  </conditionalFormatting>
  <conditionalFormatting sqref="O7:R13">
    <cfRule type="expression" dxfId="7" priority="9">
      <formula>IF(AND(ISNUMBER($O7),$O7=$Q7),TRUE)</formula>
    </cfRule>
    <cfRule type="expression" dxfId="6" priority="25">
      <formula>IF($O7&gt;$Q7,TRUE)</formula>
    </cfRule>
    <cfRule type="expression" dxfId="5" priority="26">
      <formula>IF($O7&lt;$Q7,TRUE)</formula>
    </cfRule>
  </conditionalFormatting>
  <conditionalFormatting sqref="S7:V13">
    <cfRule type="expression" dxfId="4" priority="8">
      <formula>IF(AND(ISNUMBER($S7),$S7=$U7),TRUE)</formula>
    </cfRule>
    <cfRule type="expression" dxfId="3" priority="29">
      <formula>IF($S7&gt;$U7,TRUE)</formula>
    </cfRule>
    <cfRule type="expression" dxfId="2" priority="30">
      <formula>IF($S7&lt;$U7,TRUE)</formula>
    </cfRule>
  </conditionalFormatting>
  <conditionalFormatting sqref="C7:C13 G7:G13 K7:K13 O7:O13 S7:S13">
    <cfRule type="expression" dxfId="1" priority="1">
      <formula>AND(C7=0,E7=13)</formula>
    </cfRule>
  </conditionalFormatting>
  <conditionalFormatting sqref="E7:E13 I7:I13 M7:M13 Q7:Q13 U7:U13">
    <cfRule type="expression" dxfId="0" priority="2">
      <formula>AND(E7=0,C7=13)</formula>
    </cfRule>
  </conditionalFormatting>
  <pageMargins left="0.27559055118110237" right="0.27559055118110237" top="0.78740157480314965" bottom="0.39370078740157483" header="0.78740157480314965" footer="0"/>
  <pageSetup paperSize="9" fitToHeight="0" orientation="landscape" verticalDpi="1200" r:id="rId1"/>
  <headerFooter>
    <oddHeader>&amp;R&amp;P. leht &amp;N&amp; -st</oddHead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showGridLines="0" workbookViewId="0">
      <selection activeCell="B1" sqref="B1"/>
    </sheetView>
  </sheetViews>
  <sheetFormatPr defaultRowHeight="12.75" x14ac:dyDescent="0.2"/>
  <cols>
    <col min="1" max="1" width="93.7109375" style="429" bestFit="1" customWidth="1"/>
    <col min="2" max="16384" width="9.140625" style="429"/>
  </cols>
  <sheetData>
    <row r="1" spans="1:1" x14ac:dyDescent="0.2">
      <c r="A1" s="428" t="s">
        <v>353</v>
      </c>
    </row>
    <row r="2" spans="1:1" x14ac:dyDescent="0.2">
      <c r="A2" s="429" t="s">
        <v>354</v>
      </c>
    </row>
    <row r="4" spans="1:1" x14ac:dyDescent="0.2">
      <c r="A4" s="428" t="s">
        <v>376</v>
      </c>
    </row>
    <row r="5" spans="1:1" x14ac:dyDescent="0.2">
      <c r="A5" s="429" t="s">
        <v>367</v>
      </c>
    </row>
    <row r="6" spans="1:1" x14ac:dyDescent="0.2">
      <c r="A6" s="429" t="s">
        <v>368</v>
      </c>
    </row>
    <row r="7" spans="1:1" x14ac:dyDescent="0.2">
      <c r="A7" s="429" t="s">
        <v>369</v>
      </c>
    </row>
    <row r="8" spans="1:1" x14ac:dyDescent="0.2">
      <c r="A8" s="428" t="s">
        <v>377</v>
      </c>
    </row>
    <row r="9" spans="1:1" x14ac:dyDescent="0.2">
      <c r="A9" s="429" t="s">
        <v>355</v>
      </c>
    </row>
    <row r="10" spans="1:1" x14ac:dyDescent="0.2">
      <c r="A10" s="430" t="s">
        <v>370</v>
      </c>
    </row>
    <row r="11" spans="1:1" x14ac:dyDescent="0.2">
      <c r="A11" s="429" t="s">
        <v>371</v>
      </c>
    </row>
    <row r="12" spans="1:1" x14ac:dyDescent="0.2">
      <c r="A12" s="430" t="s">
        <v>372</v>
      </c>
    </row>
    <row r="13" spans="1:1" x14ac:dyDescent="0.2">
      <c r="A13" s="428" t="s">
        <v>378</v>
      </c>
    </row>
    <row r="14" spans="1:1" x14ac:dyDescent="0.2">
      <c r="A14" s="429" t="s">
        <v>373</v>
      </c>
    </row>
    <row r="15" spans="1:1" x14ac:dyDescent="0.2">
      <c r="A15" s="429" t="s">
        <v>374</v>
      </c>
    </row>
    <row r="16" spans="1:1" x14ac:dyDescent="0.2">
      <c r="A16" s="428" t="s">
        <v>379</v>
      </c>
    </row>
    <row r="17" spans="1:1" x14ac:dyDescent="0.2">
      <c r="A17" s="429" t="s">
        <v>356</v>
      </c>
    </row>
    <row r="18" spans="1:1" x14ac:dyDescent="0.2">
      <c r="A18" s="429" t="s">
        <v>375</v>
      </c>
    </row>
    <row r="19" spans="1:1" x14ac:dyDescent="0.2">
      <c r="A19" s="428" t="s">
        <v>380</v>
      </c>
    </row>
    <row r="20" spans="1:1" x14ac:dyDescent="0.2">
      <c r="A20" s="429" t="s">
        <v>357</v>
      </c>
    </row>
    <row r="21" spans="1:1" x14ac:dyDescent="0.2">
      <c r="A21" s="429" t="s">
        <v>358</v>
      </c>
    </row>
    <row r="22" spans="1:1" x14ac:dyDescent="0.2">
      <c r="A22" s="428" t="s">
        <v>381</v>
      </c>
    </row>
    <row r="23" spans="1:1" x14ac:dyDescent="0.2">
      <c r="A23" s="429" t="s">
        <v>359</v>
      </c>
    </row>
    <row r="24" spans="1:1" x14ac:dyDescent="0.2">
      <c r="A24" s="428" t="s">
        <v>382</v>
      </c>
    </row>
    <row r="25" spans="1:1" x14ac:dyDescent="0.2">
      <c r="A25" s="429" t="s">
        <v>360</v>
      </c>
    </row>
    <row r="26" spans="1:1" x14ac:dyDescent="0.2">
      <c r="A26" s="429" t="s">
        <v>361</v>
      </c>
    </row>
    <row r="27" spans="1:1" x14ac:dyDescent="0.2">
      <c r="A27" s="428" t="s">
        <v>383</v>
      </c>
    </row>
    <row r="28" spans="1:1" x14ac:dyDescent="0.2">
      <c r="A28" s="429" t="s">
        <v>362</v>
      </c>
    </row>
    <row r="29" spans="1:1" x14ac:dyDescent="0.2">
      <c r="A29" s="429" t="s">
        <v>363</v>
      </c>
    </row>
    <row r="30" spans="1:1" x14ac:dyDescent="0.2">
      <c r="A30" s="428" t="s">
        <v>384</v>
      </c>
    </row>
    <row r="31" spans="1:1" x14ac:dyDescent="0.2">
      <c r="A31" s="429" t="s">
        <v>364</v>
      </c>
    </row>
    <row r="32" spans="1:1" x14ac:dyDescent="0.2">
      <c r="A32" s="431" t="s">
        <v>365</v>
      </c>
    </row>
    <row r="33" spans="1:1" x14ac:dyDescent="0.2">
      <c r="A33" s="431"/>
    </row>
    <row r="34" spans="1:1" x14ac:dyDescent="0.2">
      <c r="A34" s="429" t="s">
        <v>366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124"/>
  <sheetViews>
    <sheetView showGridLines="0" showRowColHeaders="0" tabSelected="1" zoomScaleNormal="100" workbookViewId="0">
      <pane ySplit="3" topLeftCell="A84" activePane="bottomLeft" state="frozen"/>
      <selection activeCell="I1" sqref="I1"/>
      <selection pane="bottomLeft" activeCell="N1" sqref="N1"/>
    </sheetView>
  </sheetViews>
  <sheetFormatPr defaultRowHeight="12.75" x14ac:dyDescent="0.2"/>
  <cols>
    <col min="1" max="1" width="4" style="9" customWidth="1"/>
    <col min="2" max="2" width="3" style="9" customWidth="1"/>
    <col min="3" max="3" width="4" style="9" customWidth="1"/>
    <col min="4" max="4" width="3" style="9" customWidth="1"/>
    <col min="5" max="5" width="9.7109375" style="9" customWidth="1"/>
    <col min="6" max="6" width="3" style="9" customWidth="1"/>
    <col min="7" max="7" width="14.28515625" style="9" customWidth="1"/>
    <col min="8" max="8" width="3" style="9" customWidth="1"/>
    <col min="9" max="9" width="4.7109375" style="9" customWidth="1"/>
    <col min="10" max="10" width="3" style="9" customWidth="1"/>
    <col min="11" max="11" width="21.28515625" style="9" customWidth="1"/>
    <col min="12" max="12" width="3" style="9" customWidth="1"/>
    <col min="13" max="13" width="21.28515625" style="9" customWidth="1"/>
    <col min="14" max="14" width="3" style="9" customWidth="1"/>
    <col min="15" max="15" width="0.85546875" style="178" customWidth="1"/>
    <col min="16" max="16" width="3" style="178" customWidth="1"/>
    <col min="17" max="17" width="19.42578125" style="9" customWidth="1"/>
    <col min="18" max="18" width="3" style="9" customWidth="1"/>
    <col min="19" max="16384" width="9.140625" style="9"/>
  </cols>
  <sheetData>
    <row r="1" spans="1:18" x14ac:dyDescent="0.2">
      <c r="A1" s="2"/>
      <c r="B1" s="3" t="s">
        <v>0</v>
      </c>
      <c r="C1" s="2"/>
      <c r="D1" s="4"/>
      <c r="E1" s="3"/>
      <c r="F1" s="3"/>
      <c r="G1" s="4"/>
      <c r="H1" s="4"/>
      <c r="I1" s="4"/>
      <c r="J1" s="5" t="str">
        <f>HYPERLINK("","")</f>
        <v/>
      </c>
      <c r="K1" s="6"/>
      <c r="L1" s="7" t="s">
        <v>458</v>
      </c>
      <c r="M1" s="2"/>
      <c r="N1" s="8"/>
      <c r="O1" s="6"/>
      <c r="P1" s="6"/>
    </row>
    <row r="2" spans="1:18" ht="13.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L2" s="8"/>
      <c r="M2" s="8"/>
      <c r="N2" s="10"/>
      <c r="O2" s="6"/>
      <c r="P2" s="6"/>
    </row>
    <row r="3" spans="1:18" ht="13.5" thickBot="1" x14ac:dyDescent="0.25">
      <c r="A3" s="11" t="s">
        <v>1</v>
      </c>
      <c r="B3" s="12"/>
      <c r="C3" s="11" t="s">
        <v>2</v>
      </c>
      <c r="D3" s="12"/>
      <c r="E3" s="11" t="s">
        <v>3</v>
      </c>
      <c r="F3" s="12"/>
      <c r="G3" s="11" t="s">
        <v>4</v>
      </c>
      <c r="H3" s="12"/>
      <c r="I3" s="11" t="s">
        <v>5</v>
      </c>
      <c r="J3" s="12"/>
      <c r="K3" s="11" t="s">
        <v>6</v>
      </c>
      <c r="L3" s="12"/>
      <c r="M3" s="11" t="s">
        <v>7</v>
      </c>
      <c r="N3" s="13"/>
      <c r="O3" s="6"/>
      <c r="P3" s="6"/>
    </row>
    <row r="4" spans="1:18" ht="13.5" thickBot="1" x14ac:dyDescent="0.25">
      <c r="A4" s="14" t="s">
        <v>8</v>
      </c>
      <c r="B4" s="15"/>
      <c r="C4" s="16"/>
      <c r="D4" s="17"/>
      <c r="E4" s="17"/>
      <c r="F4" s="17"/>
      <c r="G4" s="17"/>
      <c r="H4" s="17"/>
      <c r="I4" s="18"/>
      <c r="J4" s="18"/>
      <c r="K4" s="17"/>
      <c r="L4" s="18"/>
      <c r="M4" s="17"/>
      <c r="N4" s="17"/>
      <c r="O4" s="19"/>
      <c r="P4" s="20"/>
    </row>
    <row r="5" spans="1:18" x14ac:dyDescent="0.2">
      <c r="A5" s="21"/>
      <c r="B5" s="22">
        <v>1</v>
      </c>
      <c r="C5" s="23"/>
      <c r="D5" s="24">
        <v>2</v>
      </c>
      <c r="E5" s="25"/>
      <c r="F5" s="24">
        <v>3</v>
      </c>
      <c r="G5" s="26"/>
      <c r="H5" s="24">
        <v>4</v>
      </c>
      <c r="I5" s="21"/>
      <c r="J5" s="22">
        <v>5</v>
      </c>
      <c r="K5" s="647" t="str">
        <f>HYPERLINK("https://www.petanque.ee/index.php?id=103830&amp;cid=956","19. Tartu vaim")</f>
        <v>19. Tartu vaim</v>
      </c>
      <c r="L5" s="22">
        <v>6</v>
      </c>
      <c r="M5" s="27"/>
      <c r="N5" s="22">
        <v>7</v>
      </c>
      <c r="O5" s="6"/>
      <c r="P5" s="28"/>
    </row>
    <row r="6" spans="1:18" x14ac:dyDescent="0.2">
      <c r="A6" s="29"/>
      <c r="B6" s="30"/>
      <c r="C6" s="31"/>
      <c r="D6" s="18"/>
      <c r="E6" s="32"/>
      <c r="F6" s="18"/>
      <c r="G6" s="33"/>
      <c r="H6" s="18"/>
      <c r="I6" s="34"/>
      <c r="J6" s="18"/>
      <c r="K6" s="34" t="s">
        <v>9</v>
      </c>
      <c r="L6" s="35" t="str">
        <f>HYPERLINK("https://sites.google.com/view/tartupetank/juhendid/petangiturniir-tartu-vaim-juhend","juh")</f>
        <v>juh</v>
      </c>
      <c r="M6" s="36"/>
      <c r="N6" s="37"/>
      <c r="O6" s="6"/>
      <c r="P6" s="28"/>
    </row>
    <row r="7" spans="1:18" ht="13.5" thickBot="1" x14ac:dyDescent="0.25">
      <c r="A7" s="38"/>
      <c r="B7" s="39"/>
      <c r="C7" s="40"/>
      <c r="D7" s="41"/>
      <c r="E7" s="42"/>
      <c r="F7" s="41"/>
      <c r="G7" s="43"/>
      <c r="H7" s="44"/>
      <c r="I7" s="45"/>
      <c r="J7" s="41"/>
      <c r="K7" s="648" t="s">
        <v>56</v>
      </c>
      <c r="L7" s="46" t="str">
        <f>HYPERLINK("http://www.turna.ee/swiss.php?tid=595","tul")</f>
        <v>tul</v>
      </c>
      <c r="M7" s="47"/>
      <c r="N7" s="48"/>
      <c r="O7" s="6"/>
      <c r="P7" s="28"/>
    </row>
    <row r="8" spans="1:18" x14ac:dyDescent="0.2">
      <c r="A8" s="49"/>
      <c r="B8" s="50">
        <v>8</v>
      </c>
      <c r="C8" s="36"/>
      <c r="D8" s="50">
        <v>9</v>
      </c>
      <c r="E8" s="654" t="str">
        <f>HYPERLINK("#V1!A5","Voka X KV")</f>
        <v>Voka X KV</v>
      </c>
      <c r="F8" s="50">
        <v>10</v>
      </c>
      <c r="G8" s="36"/>
      <c r="H8" s="52">
        <v>11</v>
      </c>
      <c r="I8" s="36"/>
      <c r="J8" s="50">
        <v>12</v>
      </c>
      <c r="K8" s="649" t="str">
        <f>HYPERLINK("https://www.petanque.ee/index.php?id=103830&amp;cid=957","6. Klubide sari, 2. etapp")</f>
        <v>6. Klubide sari, 2. etapp</v>
      </c>
      <c r="L8" s="53">
        <v>13</v>
      </c>
      <c r="M8" s="652" t="str">
        <f>HYPERLINK("https://www.petanque.ee/index.php?id=103830&amp;cid=958","23. Eesti MV")</f>
        <v>23. Eesti MV</v>
      </c>
      <c r="N8" s="54">
        <v>14</v>
      </c>
      <c r="O8" s="6"/>
      <c r="P8" s="28"/>
    </row>
    <row r="9" spans="1:18" x14ac:dyDescent="0.2">
      <c r="A9" s="49"/>
      <c r="B9" s="55"/>
      <c r="C9" s="36"/>
      <c r="D9" s="55"/>
      <c r="E9" s="655" t="s">
        <v>57</v>
      </c>
      <c r="F9" s="57"/>
      <c r="G9" s="36"/>
      <c r="H9" s="55"/>
      <c r="I9" s="36"/>
      <c r="J9" s="55"/>
      <c r="K9" s="650" t="s">
        <v>10</v>
      </c>
      <c r="L9" s="30"/>
      <c r="M9" s="374" t="s">
        <v>11</v>
      </c>
      <c r="N9" s="58"/>
      <c r="O9" s="6"/>
      <c r="P9" s="28"/>
    </row>
    <row r="10" spans="1:18" ht="13.5" thickBot="1" x14ac:dyDescent="0.25">
      <c r="A10" s="59"/>
      <c r="B10" s="60"/>
      <c r="C10" s="61"/>
      <c r="D10" s="60"/>
      <c r="E10" s="656" t="str">
        <f>HYPERLINK("https://kaart.delfi.ee//?bookmark=ebd616e171f4882941c876d5ba118858","Voka staadion")</f>
        <v>Voka staadion</v>
      </c>
      <c r="F10" s="63"/>
      <c r="G10" s="61"/>
      <c r="H10" s="60"/>
      <c r="I10" s="61"/>
      <c r="J10" s="60"/>
      <c r="K10" s="651" t="str">
        <f>HYPERLINK("https://kaart.delfi.ee/?bookmark=73a75c2d8ed4a34c764e205c87288d20","Harku, Pikk 19")</f>
        <v>Harku, Pikk 19</v>
      </c>
      <c r="L10" s="64"/>
      <c r="M10" s="653" t="str">
        <f>HYPERLINK("https://kaart.delfi.ee/?bookmark=73a75c2d8ed4a34c764e205c87288d20","Harku, Pikk 19")</f>
        <v>Harku, Pikk 19</v>
      </c>
      <c r="N10" s="65"/>
      <c r="O10" s="6"/>
      <c r="P10" s="6"/>
    </row>
    <row r="11" spans="1:18" x14ac:dyDescent="0.2">
      <c r="A11" s="66"/>
      <c r="B11" s="67">
        <v>15</v>
      </c>
      <c r="C11" s="36"/>
      <c r="D11" s="67">
        <v>16</v>
      </c>
      <c r="E11" s="657"/>
      <c r="F11" s="67">
        <v>17</v>
      </c>
      <c r="G11" s="69"/>
      <c r="H11" s="70">
        <v>18</v>
      </c>
      <c r="I11" s="68"/>
      <c r="J11" s="67">
        <v>19</v>
      </c>
      <c r="K11" s="669" t="str">
        <f>HYPERLINK("https://www.petanque.ee/index.php?id=103830&amp;cid=959","EM, MM katsevõistlused")</f>
        <v>EM, MM katsevõistlused</v>
      </c>
      <c r="L11" s="71">
        <v>20</v>
      </c>
      <c r="M11" s="669" t="str">
        <f>HYPERLINK("https://www.petanque.ee/index.php?id=103830&amp;cid=960","EM, MM katsevõistlused")</f>
        <v>EM, MM katsevõistlused</v>
      </c>
      <c r="N11" s="71">
        <v>21</v>
      </c>
      <c r="O11" s="6"/>
      <c r="P11" s="28"/>
      <c r="R11" s="72"/>
    </row>
    <row r="12" spans="1:18" x14ac:dyDescent="0.2">
      <c r="A12" s="49"/>
      <c r="B12" s="55"/>
      <c r="C12" s="36"/>
      <c r="D12" s="55"/>
      <c r="E12" s="658"/>
      <c r="F12" s="55"/>
      <c r="G12" s="36"/>
      <c r="H12" s="55"/>
      <c r="I12" s="36"/>
      <c r="J12" s="55"/>
      <c r="K12" s="670" t="s">
        <v>42</v>
      </c>
      <c r="L12" s="73"/>
      <c r="M12" s="670" t="s">
        <v>43</v>
      </c>
      <c r="N12" s="74"/>
      <c r="O12" s="6"/>
      <c r="P12" s="28"/>
    </row>
    <row r="13" spans="1:18" ht="13.5" thickBot="1" x14ac:dyDescent="0.25">
      <c r="A13" s="49"/>
      <c r="B13" s="75"/>
      <c r="C13" s="61"/>
      <c r="D13" s="75"/>
      <c r="E13" s="658"/>
      <c r="F13" s="75"/>
      <c r="G13" s="36"/>
      <c r="H13" s="75"/>
      <c r="I13" s="36"/>
      <c r="J13" s="75"/>
      <c r="K13" s="667" t="str">
        <f>HYPERLINK("https://kaart.delfi.ee/?bookmark=73a75c2d8ed4a34c764e205c87288d20","Harku, Pikk 19")</f>
        <v>Harku, Pikk 19</v>
      </c>
      <c r="L13" s="76"/>
      <c r="M13" s="667" t="str">
        <f>HYPERLINK("https://kaart.delfi.ee/?bookmark=73a75c2d8ed4a34c764e205c87288d20","Harku, Pikk 19")</f>
        <v>Harku, Pikk 19</v>
      </c>
      <c r="N13" s="77"/>
      <c r="O13" s="6"/>
      <c r="P13" s="28"/>
    </row>
    <row r="14" spans="1:18" x14ac:dyDescent="0.2">
      <c r="A14" s="25"/>
      <c r="B14" s="24">
        <v>22</v>
      </c>
      <c r="C14" s="36"/>
      <c r="D14" s="24">
        <v>23</v>
      </c>
      <c r="E14" s="654" t="str">
        <f>HYPERLINK("#V2!A5","Voka X KV")</f>
        <v>Voka X KV</v>
      </c>
      <c r="F14" s="78">
        <v>24</v>
      </c>
      <c r="G14" s="23"/>
      <c r="H14" s="79">
        <v>25</v>
      </c>
      <c r="I14" s="80"/>
      <c r="J14" s="79">
        <v>26</v>
      </c>
      <c r="K14" s="663" t="str">
        <f>HYPERLINK("https://www.petanque.ee/index.php?id=103830&amp;cid=961","20. ESL individ-võistk")</f>
        <v>20. ESL individ-võistk</v>
      </c>
      <c r="L14" s="78">
        <v>27</v>
      </c>
      <c r="M14" s="23"/>
      <c r="N14" s="79">
        <v>28</v>
      </c>
      <c r="O14" s="6"/>
      <c r="P14" s="28"/>
    </row>
    <row r="15" spans="1:18" x14ac:dyDescent="0.2">
      <c r="A15" s="32"/>
      <c r="B15" s="18"/>
      <c r="C15" s="36"/>
      <c r="D15" s="18"/>
      <c r="E15" s="655" t="s">
        <v>58</v>
      </c>
      <c r="F15" s="81"/>
      <c r="G15" s="31"/>
      <c r="H15" s="18"/>
      <c r="I15" s="82"/>
      <c r="J15" s="83"/>
      <c r="K15" s="17" t="s">
        <v>12</v>
      </c>
      <c r="L15" s="55"/>
      <c r="M15" s="31"/>
      <c r="N15" s="84"/>
      <c r="O15" s="6"/>
      <c r="P15" s="28"/>
    </row>
    <row r="16" spans="1:18" ht="13.5" thickBot="1" x14ac:dyDescent="0.25">
      <c r="A16" s="85"/>
      <c r="B16" s="86"/>
      <c r="C16" s="61"/>
      <c r="D16" s="86"/>
      <c r="E16" s="656" t="str">
        <f>HYPERLINK("https://kaart.delfi.ee//?bookmark=ebd616e171f4882941c876d5ba118858","Voka staadion")</f>
        <v>Voka staadion</v>
      </c>
      <c r="F16" s="87"/>
      <c r="G16" s="88"/>
      <c r="H16" s="86"/>
      <c r="I16" s="89"/>
      <c r="J16" s="90"/>
      <c r="K16" s="664" t="str">
        <f>HYPERLINK("https://kaart.delfi.ee?bookmark=930156928595c3683983496363018260","Väätsa")</f>
        <v>Väätsa</v>
      </c>
      <c r="L16" s="60"/>
      <c r="M16" s="88"/>
      <c r="N16" s="91"/>
      <c r="O16" s="6"/>
      <c r="P16" s="28"/>
    </row>
    <row r="17" spans="1:16" x14ac:dyDescent="0.2">
      <c r="A17" s="92"/>
      <c r="B17" s="78">
        <v>29</v>
      </c>
      <c r="C17" s="93"/>
      <c r="D17" s="79">
        <v>30</v>
      </c>
      <c r="E17" s="94"/>
      <c r="F17" s="24">
        <v>31</v>
      </c>
      <c r="G17" s="95"/>
      <c r="K17" s="2"/>
      <c r="L17" s="2"/>
      <c r="M17" s="2"/>
      <c r="N17" s="2"/>
      <c r="O17" s="6"/>
      <c r="P17" s="6"/>
    </row>
    <row r="18" spans="1:16" ht="13.5" thickBot="1" x14ac:dyDescent="0.25">
      <c r="A18" s="32"/>
      <c r="B18" s="17"/>
      <c r="C18" s="31"/>
      <c r="D18" s="83"/>
      <c r="E18" s="17"/>
      <c r="F18" s="18"/>
      <c r="G18" s="96"/>
      <c r="O18" s="6"/>
      <c r="P18" s="28"/>
    </row>
    <row r="19" spans="1:16" ht="13.5" thickBot="1" x14ac:dyDescent="0.25">
      <c r="A19" s="97"/>
      <c r="B19" s="98"/>
      <c r="C19" s="99"/>
      <c r="D19" s="100"/>
      <c r="E19" s="101"/>
      <c r="F19" s="101"/>
      <c r="G19" s="102"/>
      <c r="H19" s="79">
        <v>1</v>
      </c>
      <c r="I19" s="93"/>
      <c r="J19" s="79">
        <v>2</v>
      </c>
      <c r="K19" s="665" t="str">
        <f>HYPERLINK("https://www.petanque.ee/index.php?id=103830&amp;cid=962","33. Eesti MV")</f>
        <v>33. Eesti MV</v>
      </c>
      <c r="L19" s="78">
        <v>3</v>
      </c>
      <c r="M19" s="227" t="str">
        <f>HYPERLINK("https://www.petanque.ee/index.php?id=103830&amp;cid=963","3. Eesti MV")</f>
        <v>3. Eesti MV</v>
      </c>
      <c r="N19" s="103">
        <v>4</v>
      </c>
      <c r="O19" s="6"/>
      <c r="P19" s="28"/>
    </row>
    <row r="20" spans="1:16" x14ac:dyDescent="0.2">
      <c r="A20" s="14" t="s">
        <v>14</v>
      </c>
      <c r="B20" s="15"/>
      <c r="C20" s="16"/>
      <c r="D20" s="17"/>
      <c r="G20" s="104"/>
      <c r="H20" s="18"/>
      <c r="I20" s="31"/>
      <c r="J20" s="83"/>
      <c r="K20" s="661" t="s">
        <v>15</v>
      </c>
      <c r="L20" s="105"/>
      <c r="M20" s="106" t="s">
        <v>470</v>
      </c>
      <c r="N20" s="107"/>
      <c r="O20" s="6"/>
      <c r="P20" s="28"/>
    </row>
    <row r="21" spans="1:16" ht="13.5" thickBot="1" x14ac:dyDescent="0.25">
      <c r="A21" s="108"/>
      <c r="B21" s="108"/>
      <c r="C21" s="108"/>
      <c r="D21" s="109"/>
      <c r="E21" s="109"/>
      <c r="F21" s="17"/>
      <c r="G21" s="110"/>
      <c r="H21" s="111"/>
      <c r="I21" s="112"/>
      <c r="J21" s="113"/>
      <c r="K21" s="664" t="str">
        <f>HYPERLINK("https://kaart.delfi.ee?bookmark=09630379a4da30e522740f21da260c40","Haapsalu, Paralepa")</f>
        <v>Haapsalu, Paralepa</v>
      </c>
      <c r="L21" s="114"/>
      <c r="M21" s="664" t="str">
        <f>HYPERLINK("https://kaart.delfi.ee?bookmark=09630379a4da30e522740f21da260c40","Haapsalu, Paralepa")</f>
        <v>Haapsalu, Paralepa</v>
      </c>
      <c r="N21" s="115"/>
      <c r="O21" s="6"/>
      <c r="P21" s="28"/>
    </row>
    <row r="22" spans="1:16" x14ac:dyDescent="0.2">
      <c r="A22" s="93"/>
      <c r="B22" s="79">
        <v>5</v>
      </c>
      <c r="C22" s="94"/>
      <c r="D22" s="78">
        <v>6</v>
      </c>
      <c r="E22" s="654" t="str">
        <f>HYPERLINK("#V3!A5","Voka X KV")</f>
        <v>Voka X KV</v>
      </c>
      <c r="F22" s="78">
        <v>7</v>
      </c>
      <c r="G22" s="80"/>
      <c r="H22" s="78">
        <v>8</v>
      </c>
      <c r="I22" s="93"/>
      <c r="J22" s="79">
        <v>9</v>
      </c>
      <c r="K22" s="666" t="str">
        <f>HYPERLINK("#M!A5","2. Maidu karikas")</f>
        <v>2. Maidu karikas</v>
      </c>
      <c r="L22" s="116">
        <v>10</v>
      </c>
      <c r="M22" s="668" t="str">
        <f>HYPERLINK("#'TMV-d'!A5","Toila valla lahtised MV")</f>
        <v>Toila valla lahtised MV</v>
      </c>
      <c r="N22" s="103">
        <v>11</v>
      </c>
      <c r="O22" s="6"/>
      <c r="P22" s="6"/>
    </row>
    <row r="23" spans="1:16" x14ac:dyDescent="0.2">
      <c r="A23" s="31"/>
      <c r="B23" s="83"/>
      <c r="C23" s="17"/>
      <c r="D23" s="18"/>
      <c r="E23" s="655" t="s">
        <v>329</v>
      </c>
      <c r="F23" s="81"/>
      <c r="G23" s="117"/>
      <c r="H23" s="18"/>
      <c r="I23" s="31"/>
      <c r="J23" s="83"/>
      <c r="K23" s="118" t="s">
        <v>471</v>
      </c>
      <c r="L23" s="119"/>
      <c r="M23" s="191" t="s">
        <v>15</v>
      </c>
      <c r="N23" s="120"/>
      <c r="O23" s="6"/>
      <c r="P23" s="6"/>
    </row>
    <row r="24" spans="1:16" ht="13.5" thickBot="1" x14ac:dyDescent="0.25">
      <c r="A24" s="88"/>
      <c r="B24" s="90"/>
      <c r="C24" s="109"/>
      <c r="D24" s="86"/>
      <c r="E24" s="656" t="str">
        <f>HYPERLINK("https://kaart.delfi.ee//?bookmark=ebd616e171f4882941c876d5ba118858","Voka staadion")</f>
        <v>Voka staadion</v>
      </c>
      <c r="F24" s="87"/>
      <c r="G24" s="121"/>
      <c r="H24" s="122"/>
      <c r="I24" s="88"/>
      <c r="J24" s="123"/>
      <c r="K24" s="659" t="str">
        <f>HYPERLINK("https://kaart.delfi.ee/?bookmark=521b80d6ceeefbe3e5d227267242b206","K-Järve spordihoone")</f>
        <v>K-Järve spordihoone</v>
      </c>
      <c r="L24" s="124"/>
      <c r="M24" s="220" t="str">
        <f>HYPERLINK("http://kaart.delfi.ee//?bookmark=ebd616e171f4882941c876d5ba118858","Voka staadion")</f>
        <v>Voka staadion</v>
      </c>
      <c r="N24" s="125"/>
      <c r="O24" s="6"/>
      <c r="P24" s="6"/>
    </row>
    <row r="25" spans="1:16" x14ac:dyDescent="0.2">
      <c r="A25" s="31"/>
      <c r="B25" s="126">
        <v>12</v>
      </c>
      <c r="C25" s="36"/>
      <c r="D25" s="116">
        <v>13</v>
      </c>
      <c r="E25" s="31"/>
      <c r="F25" s="116">
        <v>14</v>
      </c>
      <c r="G25" s="93"/>
      <c r="H25" s="78">
        <v>15</v>
      </c>
      <c r="I25" s="31"/>
      <c r="J25" s="116">
        <v>16</v>
      </c>
      <c r="K25" s="660" t="str">
        <f>HYPERLINK("https://www.petanque.ee/index.php?id=103830&amp;cid=965","26. Eesti MV")</f>
        <v>26. Eesti MV</v>
      </c>
      <c r="L25" s="116">
        <v>17</v>
      </c>
      <c r="M25" s="80" t="str">
        <f>HYPERLINK("https://www.petanque.ee/index.php?id=103830&amp;cid=966","KOLKS III")</f>
        <v>KOLKS III</v>
      </c>
      <c r="N25" s="126">
        <v>18</v>
      </c>
      <c r="O25" s="28"/>
      <c r="P25" s="6"/>
    </row>
    <row r="26" spans="1:16" x14ac:dyDescent="0.2">
      <c r="A26" s="31"/>
      <c r="B26" s="111"/>
      <c r="C26" s="36"/>
      <c r="D26" s="17"/>
      <c r="E26" s="31"/>
      <c r="F26" s="17"/>
      <c r="G26" s="31"/>
      <c r="H26" s="18"/>
      <c r="I26" s="31"/>
      <c r="J26" s="17"/>
      <c r="K26" s="661" t="s">
        <v>18</v>
      </c>
      <c r="L26" s="17"/>
      <c r="M26" s="135" t="s">
        <v>15</v>
      </c>
      <c r="N26" s="111"/>
      <c r="O26" s="28"/>
      <c r="P26" s="6"/>
    </row>
    <row r="27" spans="1:16" ht="13.5" thickBot="1" x14ac:dyDescent="0.25">
      <c r="A27" s="31"/>
      <c r="B27" s="111"/>
      <c r="C27" s="61"/>
      <c r="D27" s="17"/>
      <c r="E27" s="31"/>
      <c r="F27" s="17"/>
      <c r="G27" s="88"/>
      <c r="H27" s="30"/>
      <c r="I27" s="32"/>
      <c r="J27" s="127"/>
      <c r="K27" s="662" t="s">
        <v>19</v>
      </c>
      <c r="L27" s="128"/>
      <c r="M27" s="121" t="s">
        <v>19</v>
      </c>
      <c r="N27" s="111"/>
      <c r="O27" s="6"/>
      <c r="P27" s="6"/>
    </row>
    <row r="28" spans="1:16" x14ac:dyDescent="0.2">
      <c r="A28" s="93"/>
      <c r="B28" s="79">
        <v>19</v>
      </c>
      <c r="C28" s="36"/>
      <c r="D28" s="78">
        <v>20</v>
      </c>
      <c r="E28" s="654" t="str">
        <f>HYPERLINK("#V4!A5","Voka X KV")</f>
        <v>Voka X KV</v>
      </c>
      <c r="F28" s="78">
        <v>21</v>
      </c>
      <c r="G28" s="80" t="str">
        <f>HYPERLINK("https://www.petanque.ee/index.php?id=103830&amp;cid=967","Saku Jaaniduppel")</f>
        <v>Saku Jaaniduppel</v>
      </c>
      <c r="H28" s="78">
        <v>22</v>
      </c>
      <c r="I28" s="129"/>
      <c r="J28" s="130">
        <v>23</v>
      </c>
      <c r="K28" s="92"/>
      <c r="L28" s="131">
        <v>24</v>
      </c>
      <c r="M28" s="92"/>
      <c r="N28" s="79">
        <v>25</v>
      </c>
      <c r="O28" s="6"/>
      <c r="P28" s="6"/>
    </row>
    <row r="29" spans="1:16" x14ac:dyDescent="0.2">
      <c r="A29" s="31"/>
      <c r="B29" s="111"/>
      <c r="C29" s="36"/>
      <c r="D29" s="17"/>
      <c r="E29" s="655" t="s">
        <v>330</v>
      </c>
      <c r="F29" s="132"/>
      <c r="G29" s="135" t="s">
        <v>15</v>
      </c>
      <c r="H29" s="17"/>
      <c r="I29" s="31"/>
      <c r="J29" s="127"/>
      <c r="K29" s="31"/>
      <c r="L29" s="17"/>
      <c r="M29" s="31"/>
      <c r="N29" s="84"/>
      <c r="O29" s="6"/>
      <c r="P29" s="28"/>
    </row>
    <row r="30" spans="1:16" ht="13.5" thickBot="1" x14ac:dyDescent="0.25">
      <c r="A30" s="88"/>
      <c r="B30" s="123"/>
      <c r="C30" s="61"/>
      <c r="D30" s="109"/>
      <c r="E30" s="656" t="str">
        <f>HYPERLINK("https://kaart.delfi.ee//?bookmark=ebd616e171f4882941c876d5ba118858","Voka staadion")</f>
        <v>Voka staadion</v>
      </c>
      <c r="F30" s="133"/>
      <c r="G30" s="121" t="str">
        <f>HYPERLINK("https://kaart.delfi.ee/?bookmark=78de0fb2613cdaa764ec35efb54e0b69","Saku, Teaduse 2")</f>
        <v>Saku, Teaduse 2</v>
      </c>
      <c r="H30" s="109"/>
      <c r="I30" s="88"/>
      <c r="J30" s="134"/>
      <c r="K30" s="88"/>
      <c r="L30" s="123"/>
      <c r="M30" s="88"/>
      <c r="N30" s="91"/>
      <c r="O30" s="6"/>
      <c r="P30" s="6"/>
    </row>
    <row r="31" spans="1:16" x14ac:dyDescent="0.2">
      <c r="A31" s="93"/>
      <c r="B31" s="79">
        <v>26</v>
      </c>
      <c r="C31" s="94"/>
      <c r="D31" s="78">
        <v>27</v>
      </c>
      <c r="E31" s="93"/>
      <c r="F31" s="79">
        <v>28</v>
      </c>
      <c r="G31" s="93"/>
      <c r="H31" s="78">
        <v>29</v>
      </c>
      <c r="I31" s="93"/>
      <c r="J31" s="78">
        <v>30</v>
      </c>
      <c r="K31" s="95"/>
      <c r="O31" s="6"/>
      <c r="P31" s="6"/>
    </row>
    <row r="32" spans="1:16" ht="13.5" thickBot="1" x14ac:dyDescent="0.25">
      <c r="A32" s="135"/>
      <c r="B32" s="136"/>
      <c r="C32" s="137"/>
      <c r="D32" s="137"/>
      <c r="E32" s="135"/>
      <c r="F32" s="136"/>
      <c r="G32" s="137"/>
      <c r="H32" s="137"/>
      <c r="I32" s="135"/>
      <c r="J32" s="137"/>
      <c r="K32" s="96"/>
      <c r="O32" s="6"/>
      <c r="P32" s="6"/>
    </row>
    <row r="33" spans="1:16" ht="13.5" thickBot="1" x14ac:dyDescent="0.25">
      <c r="A33" s="88"/>
      <c r="B33" s="90"/>
      <c r="C33" s="109"/>
      <c r="D33" s="86"/>
      <c r="E33" s="88"/>
      <c r="F33" s="123"/>
      <c r="G33" s="88"/>
      <c r="H33" s="109"/>
      <c r="I33" s="138"/>
      <c r="J33" s="108"/>
      <c r="K33" s="700" t="str">
        <f>HYPERLINK("https://www.petanque.ee/index.php?id=103830&amp;cid=969","3. Tõrva Cup")</f>
        <v>3. Tõrva Cup</v>
      </c>
      <c r="L33" s="79">
        <v>1</v>
      </c>
      <c r="M33" s="694" t="str">
        <f>HYPERLINK("https://www.petanque.ee/index.php?id=103830&amp;cid=968","33. Eesti MV")</f>
        <v>33. Eesti MV</v>
      </c>
      <c r="N33" s="103">
        <v>2</v>
      </c>
      <c r="O33" s="6"/>
      <c r="P33" s="6"/>
    </row>
    <row r="34" spans="1:16" x14ac:dyDescent="0.2">
      <c r="A34" s="139" t="s">
        <v>20</v>
      </c>
      <c r="B34" s="140"/>
      <c r="C34" s="141"/>
      <c r="D34" s="142"/>
      <c r="E34" s="94"/>
      <c r="F34" s="94"/>
      <c r="G34" s="94"/>
      <c r="H34" s="94"/>
      <c r="I34" s="94"/>
      <c r="J34" s="142"/>
      <c r="K34" s="701" t="s">
        <v>13</v>
      </c>
      <c r="L34" s="111"/>
      <c r="M34" s="106" t="s">
        <v>21</v>
      </c>
      <c r="N34" s="143"/>
      <c r="O34" s="6"/>
      <c r="P34" s="9"/>
    </row>
    <row r="35" spans="1:16" ht="13.5" thickBot="1" x14ac:dyDescent="0.25">
      <c r="A35" s="137"/>
      <c r="B35" s="137"/>
      <c r="C35" s="137"/>
      <c r="D35" s="137"/>
      <c r="E35" s="137"/>
      <c r="F35" s="137"/>
      <c r="G35" s="137"/>
      <c r="H35" s="137"/>
      <c r="I35" s="17"/>
      <c r="J35" s="18"/>
      <c r="K35" s="702" t="str">
        <f>HYPERLINK("https://kaart.delfi.ee/?bookmark=1779b9f3de5825fbacb56aa45d999aab","Tõrva, Puiestee 1")</f>
        <v>Tõrva, Puiestee 1</v>
      </c>
      <c r="L35" s="111"/>
      <c r="M35" s="695" t="str">
        <f>HYPERLINK("https://kaart.delfi.ee/?bookmark=1779b9f3de5825fbacb56aa45d999aab","Tõrva, Puiestee 1")</f>
        <v>Tõrva, Puiestee 1</v>
      </c>
      <c r="N35" s="107"/>
      <c r="O35" s="17"/>
      <c r="P35" s="9"/>
    </row>
    <row r="36" spans="1:16" x14ac:dyDescent="0.2">
      <c r="A36" s="93"/>
      <c r="B36" s="78">
        <v>3</v>
      </c>
      <c r="C36" s="68"/>
      <c r="D36" s="144">
        <v>4</v>
      </c>
      <c r="E36" s="654" t="str">
        <f>HYPERLINK("#V5!A5","Voka X KV")</f>
        <v>Voka X KV</v>
      </c>
      <c r="F36" s="78">
        <v>5</v>
      </c>
      <c r="G36" s="68"/>
      <c r="H36" s="145">
        <v>6</v>
      </c>
      <c r="I36" s="146"/>
      <c r="J36" s="78">
        <v>7</v>
      </c>
      <c r="K36" s="80" t="str">
        <f>HYPERLINK("https://www.petanque.ee/index.php?id=103830&amp;cid=970","16. Eestimaa suve-")</f>
        <v>16. Eestimaa suve-</v>
      </c>
      <c r="L36" s="79">
        <v>8</v>
      </c>
      <c r="M36" s="80" t="str">
        <f>HYPERLINK("https://www.petanque.ee/index.php?id=103830&amp;cid=971","16. Eestimaa suve-")</f>
        <v>16. Eestimaa suve-</v>
      </c>
      <c r="N36" s="79">
        <v>9</v>
      </c>
      <c r="O36" s="6"/>
      <c r="P36" s="9"/>
    </row>
    <row r="37" spans="1:16" x14ac:dyDescent="0.2">
      <c r="A37" s="31"/>
      <c r="B37" s="17"/>
      <c r="C37" s="36"/>
      <c r="D37" s="111"/>
      <c r="E37" s="655" t="s">
        <v>331</v>
      </c>
      <c r="F37" s="132"/>
      <c r="G37" s="36"/>
      <c r="H37" s="83"/>
      <c r="I37" s="137"/>
      <c r="J37" s="18"/>
      <c r="K37" s="31" t="s">
        <v>22</v>
      </c>
      <c r="L37" s="111"/>
      <c r="M37" s="31" t="s">
        <v>22</v>
      </c>
      <c r="N37" s="147"/>
      <c r="O37" s="6"/>
      <c r="P37" s="9"/>
    </row>
    <row r="38" spans="1:16" ht="13.5" thickBot="1" x14ac:dyDescent="0.25">
      <c r="A38" s="88"/>
      <c r="B38" s="109"/>
      <c r="C38" s="61"/>
      <c r="D38" s="123"/>
      <c r="E38" s="656" t="str">
        <f>HYPERLINK("https://kaart.delfi.ee//?bookmark=ebd616e171f4882941c876d5ba118858","Voka staadion")</f>
        <v>Voka staadion</v>
      </c>
      <c r="F38" s="133"/>
      <c r="G38" s="61"/>
      <c r="H38" s="90"/>
      <c r="I38" s="108"/>
      <c r="J38" s="109"/>
      <c r="K38" s="88" t="s">
        <v>23</v>
      </c>
      <c r="L38" s="123"/>
      <c r="M38" s="88" t="s">
        <v>23</v>
      </c>
      <c r="N38" s="123"/>
      <c r="O38" s="6"/>
      <c r="P38" s="9"/>
    </row>
    <row r="39" spans="1:16" x14ac:dyDescent="0.2">
      <c r="A39" s="31"/>
      <c r="B39" s="126">
        <v>10</v>
      </c>
      <c r="C39" s="36"/>
      <c r="D39" s="126">
        <v>11</v>
      </c>
      <c r="E39" s="658"/>
      <c r="F39" s="116">
        <v>12</v>
      </c>
      <c r="G39" s="36"/>
      <c r="H39" s="116">
        <v>13</v>
      </c>
      <c r="I39" s="36"/>
      <c r="J39" s="148">
        <v>14</v>
      </c>
      <c r="K39" s="696" t="str">
        <f>HYPERLINK("https://www.petanque.ee/index.php?id=103830&amp;cid=972","19. Klubide karikas")</f>
        <v>19. Klubide karikas</v>
      </c>
      <c r="L39" s="148">
        <v>15</v>
      </c>
      <c r="M39" s="696" t="str">
        <f>HYPERLINK("https://www.petanque.ee/index.php?id=103830&amp;cid=973","19. Klubide karikas")</f>
        <v>19. Klubide karikas</v>
      </c>
      <c r="N39" s="126">
        <v>16</v>
      </c>
      <c r="O39" s="6"/>
      <c r="P39" s="9"/>
    </row>
    <row r="40" spans="1:16" x14ac:dyDescent="0.2">
      <c r="A40" s="31"/>
      <c r="B40" s="83"/>
      <c r="C40" s="36"/>
      <c r="D40" s="83"/>
      <c r="E40" s="658"/>
      <c r="F40" s="83"/>
      <c r="G40" s="36"/>
      <c r="H40" s="83"/>
      <c r="I40" s="36"/>
      <c r="J40" s="83"/>
      <c r="K40" s="697" t="s">
        <v>24</v>
      </c>
      <c r="L40" s="18"/>
      <c r="M40" s="697" t="s">
        <v>24</v>
      </c>
      <c r="N40" s="83"/>
      <c r="O40" s="6"/>
      <c r="P40" s="28"/>
    </row>
    <row r="41" spans="1:16" ht="13.5" thickBot="1" x14ac:dyDescent="0.25">
      <c r="A41" s="88"/>
      <c r="B41" s="86"/>
      <c r="C41" s="61"/>
      <c r="D41" s="90"/>
      <c r="E41" s="705"/>
      <c r="F41" s="90"/>
      <c r="G41" s="61"/>
      <c r="H41" s="90"/>
      <c r="I41" s="61"/>
      <c r="J41" s="90"/>
      <c r="K41" s="698" t="str">
        <f>HYPERLINK("https://kaart.delfi.ee/?bookmark=1779b9f3de5825fbacb56aa45d999aab","Tõrva, Puiestee 1")</f>
        <v>Tõrva, Puiestee 1</v>
      </c>
      <c r="L41" s="90"/>
      <c r="M41" s="698" t="str">
        <f>HYPERLINK("https://kaart.delfi.ee/?bookmark=1779b9f3de5825fbacb56aa45d999aab","Tõrva, Puiestee 1")</f>
        <v>Tõrva, Puiestee 1</v>
      </c>
      <c r="N41" s="90"/>
      <c r="O41" s="6"/>
      <c r="P41" s="28"/>
    </row>
    <row r="42" spans="1:16" x14ac:dyDescent="0.2">
      <c r="A42" s="31"/>
      <c r="B42" s="116">
        <v>17</v>
      </c>
      <c r="C42" s="31"/>
      <c r="D42" s="148">
        <v>18</v>
      </c>
      <c r="E42" s="654" t="str">
        <f>HYPERLINK("#V6!A5","Voka X KV")</f>
        <v>Voka X KV</v>
      </c>
      <c r="F42" s="148">
        <v>19</v>
      </c>
      <c r="G42" s="149"/>
      <c r="H42" s="79">
        <v>20</v>
      </c>
      <c r="I42" s="31"/>
      <c r="J42" s="116">
        <v>21</v>
      </c>
      <c r="K42" s="694" t="str">
        <f>HYPERLINK("https://www.petanque.ee/index.php?id=103830&amp;cid=974","18. Eesti MV")</f>
        <v>18. Eesti MV</v>
      </c>
      <c r="L42" s="79">
        <v>22</v>
      </c>
      <c r="M42" s="80" t="str">
        <f>HYPERLINK("https://www.petanque.ee/index.php?id=103830&amp;cid=975","2. Väätsa karikas")</f>
        <v>2. Väätsa karikas</v>
      </c>
      <c r="N42" s="126">
        <v>23</v>
      </c>
      <c r="O42" s="6"/>
      <c r="P42" s="28"/>
    </row>
    <row r="43" spans="1:16" x14ac:dyDescent="0.2">
      <c r="A43" s="31"/>
      <c r="B43" s="17"/>
      <c r="C43" s="31"/>
      <c r="D43" s="150"/>
      <c r="E43" s="655" t="s">
        <v>332</v>
      </c>
      <c r="F43" s="151"/>
      <c r="G43" s="82"/>
      <c r="H43" s="150"/>
      <c r="I43" s="31"/>
      <c r="J43" s="18"/>
      <c r="K43" s="106" t="s">
        <v>25</v>
      </c>
      <c r="L43" s="83"/>
      <c r="M43" s="31" t="s">
        <v>17</v>
      </c>
      <c r="N43" s="111"/>
      <c r="O43" s="6"/>
      <c r="P43" s="9"/>
    </row>
    <row r="44" spans="1:16" ht="13.5" thickBot="1" x14ac:dyDescent="0.25">
      <c r="A44" s="31"/>
      <c r="B44" s="17"/>
      <c r="C44" s="31"/>
      <c r="D44" s="150"/>
      <c r="E44" s="656" t="str">
        <f>HYPERLINK("https://kaart.delfi.ee//?bookmark=ebd616e171f4882941c876d5ba118858","Voka staadion")</f>
        <v>Voka staadion</v>
      </c>
      <c r="F44" s="152"/>
      <c r="G44" s="153"/>
      <c r="H44" s="111"/>
      <c r="I44" s="31"/>
      <c r="J44" s="154"/>
      <c r="K44" s="703" t="s">
        <v>26</v>
      </c>
      <c r="L44" s="123"/>
      <c r="M44" s="699" t="s">
        <v>26</v>
      </c>
      <c r="N44" s="111"/>
      <c r="O44" s="6"/>
      <c r="P44" s="9"/>
    </row>
    <row r="45" spans="1:16" x14ac:dyDescent="0.2">
      <c r="A45" s="93"/>
      <c r="B45" s="79">
        <v>24</v>
      </c>
      <c r="C45" s="68"/>
      <c r="D45" s="78">
        <v>25</v>
      </c>
      <c r="E45" s="657"/>
      <c r="F45" s="144">
        <v>26</v>
      </c>
      <c r="G45" s="68"/>
      <c r="H45" s="78">
        <v>27</v>
      </c>
      <c r="I45" s="93"/>
      <c r="J45" s="79">
        <v>28</v>
      </c>
      <c r="K45" s="80" t="str">
        <f>HYPERLINK("https://www.petanque.ee/index.php?id=103830&amp;cid=978","56. ESL Spordimängud")</f>
        <v>56. ESL Spordimängud</v>
      </c>
      <c r="L45" s="78">
        <v>29</v>
      </c>
      <c r="M45" s="720" t="str">
        <f>HYPERLINK("#Mu!A5","Voka 22. muruturniir")</f>
        <v>Voka 22. muruturniir</v>
      </c>
      <c r="N45" s="79">
        <v>30</v>
      </c>
      <c r="O45" s="6"/>
      <c r="P45" s="9"/>
    </row>
    <row r="46" spans="1:16" x14ac:dyDescent="0.2">
      <c r="A46" s="31"/>
      <c r="B46" s="83"/>
      <c r="C46" s="36"/>
      <c r="D46" s="150"/>
      <c r="E46" s="658"/>
      <c r="F46" s="18"/>
      <c r="G46" s="36"/>
      <c r="H46" s="18"/>
      <c r="I46" s="31"/>
      <c r="J46" s="83"/>
      <c r="K46" s="704" t="s">
        <v>27</v>
      </c>
      <c r="L46" s="18"/>
      <c r="M46" s="721" t="s">
        <v>21</v>
      </c>
      <c r="N46" s="155"/>
      <c r="O46" s="6"/>
      <c r="P46" s="9"/>
    </row>
    <row r="47" spans="1:16" x14ac:dyDescent="0.2">
      <c r="A47" s="31"/>
      <c r="B47" s="83"/>
      <c r="C47" s="36"/>
      <c r="D47" s="150"/>
      <c r="E47" s="658"/>
      <c r="F47" s="18"/>
      <c r="G47" s="36"/>
      <c r="H47" s="18"/>
      <c r="I47" s="31"/>
      <c r="J47" s="83"/>
      <c r="K47" s="149" t="str">
        <f>HYPERLINK("","Märjamaa")</f>
        <v>Märjamaa</v>
      </c>
      <c r="L47" s="18"/>
      <c r="M47" s="722" t="str">
        <f>HYPERLINK("http://kaart.delfi.ee//?bookmark=ebd616e171f4882941c876d5ba118858","Voka staadion")</f>
        <v>Voka staadion</v>
      </c>
      <c r="N47" s="155"/>
      <c r="O47" s="6"/>
      <c r="P47" s="9"/>
    </row>
    <row r="48" spans="1:16" x14ac:dyDescent="0.2">
      <c r="A48" s="31"/>
      <c r="B48" s="83"/>
      <c r="C48" s="36"/>
      <c r="D48" s="150"/>
      <c r="E48" s="658"/>
      <c r="F48" s="18"/>
      <c r="G48" s="36"/>
      <c r="H48" s="18"/>
      <c r="I48" s="31"/>
      <c r="J48" s="83"/>
      <c r="K48" s="719" t="str">
        <f>HYPERLINK("https://www.petanque.ee/index.php?id=103830&amp;cid=976","Baltic Masters MIX")</f>
        <v>Baltic Masters MIX</v>
      </c>
      <c r="L48" s="156"/>
      <c r="M48" s="718"/>
      <c r="N48" s="111"/>
      <c r="O48" s="6"/>
      <c r="P48" s="9"/>
    </row>
    <row r="49" spans="1:16" x14ac:dyDescent="0.2">
      <c r="A49" s="31"/>
      <c r="B49" s="83"/>
      <c r="C49" s="36"/>
      <c r="D49" s="150"/>
      <c r="E49" s="658"/>
      <c r="F49" s="18"/>
      <c r="G49" s="36"/>
      <c r="H49" s="18"/>
      <c r="I49" s="31"/>
      <c r="J49" s="83"/>
      <c r="K49" s="673" t="s">
        <v>13</v>
      </c>
      <c r="L49" s="18"/>
      <c r="M49" s="671"/>
      <c r="N49" s="111"/>
      <c r="O49" s="6"/>
      <c r="P49" s="9"/>
    </row>
    <row r="50" spans="1:16" ht="13.5" thickBot="1" x14ac:dyDescent="0.25">
      <c r="A50" s="88"/>
      <c r="B50" s="90"/>
      <c r="C50" s="61"/>
      <c r="D50" s="157"/>
      <c r="E50" s="705"/>
      <c r="F50" s="86"/>
      <c r="G50" s="61"/>
      <c r="H50" s="86"/>
      <c r="I50" s="88"/>
      <c r="J50" s="90"/>
      <c r="K50" s="674" t="s">
        <v>473</v>
      </c>
      <c r="L50" s="86"/>
      <c r="M50" s="674"/>
      <c r="N50" s="123"/>
      <c r="O50" s="6"/>
      <c r="P50" s="9"/>
    </row>
    <row r="51" spans="1:16" ht="13.5" thickBot="1" x14ac:dyDescent="0.25">
      <c r="A51" s="158" t="s">
        <v>28</v>
      </c>
      <c r="B51" s="159"/>
      <c r="C51" s="160"/>
      <c r="D51" s="109"/>
      <c r="E51" s="109"/>
      <c r="F51" s="161"/>
      <c r="G51" s="162"/>
      <c r="H51" s="161"/>
      <c r="I51" s="162"/>
      <c r="J51" s="161"/>
      <c r="K51" s="162"/>
      <c r="L51" s="86"/>
      <c r="M51" s="109"/>
      <c r="N51" s="86"/>
      <c r="O51" s="6"/>
      <c r="P51" s="9"/>
    </row>
    <row r="52" spans="1:16" x14ac:dyDescent="0.2">
      <c r="A52" s="31"/>
      <c r="B52" s="116">
        <v>31</v>
      </c>
      <c r="C52" s="102"/>
      <c r="D52" s="78">
        <v>1</v>
      </c>
      <c r="E52" s="654" t="str">
        <f>HYPERLINK("#V7!A5","Voka X KV")</f>
        <v>Voka X KV</v>
      </c>
      <c r="F52" s="78">
        <v>2</v>
      </c>
      <c r="G52" s="68"/>
      <c r="H52" s="79">
        <v>3</v>
      </c>
      <c r="I52" s="93"/>
      <c r="J52" s="78">
        <v>4</v>
      </c>
      <c r="K52" s="712" t="str">
        <f>HYPERLINK("https://www.petanque.ee/index.php?id=103820&amp;cid=902","2. Eesti MV")</f>
        <v>2. Eesti MV</v>
      </c>
      <c r="L52" s="78">
        <v>5</v>
      </c>
      <c r="M52" s="706" t="str">
        <f>HYPERLINK("https://www.petanque.ee/index.php?id=103830&amp;cid=982","Valga karikas")</f>
        <v>Valga karikas</v>
      </c>
      <c r="N52" s="79">
        <v>6</v>
      </c>
      <c r="O52" s="6"/>
      <c r="P52" s="9"/>
    </row>
    <row r="53" spans="1:16" x14ac:dyDescent="0.2">
      <c r="A53" s="31"/>
      <c r="B53" s="18"/>
      <c r="C53" s="104"/>
      <c r="D53" s="17"/>
      <c r="E53" s="655" t="s">
        <v>333</v>
      </c>
      <c r="F53" s="132"/>
      <c r="G53" s="36"/>
      <c r="H53" s="83"/>
      <c r="I53" s="31"/>
      <c r="J53" s="17"/>
      <c r="K53" s="163" t="s">
        <v>472</v>
      </c>
      <c r="L53" s="17"/>
      <c r="M53" s="31" t="s">
        <v>17</v>
      </c>
      <c r="N53" s="136"/>
      <c r="O53" s="6"/>
      <c r="P53" s="28"/>
    </row>
    <row r="54" spans="1:16" ht="13.5" thickBot="1" x14ac:dyDescent="0.25">
      <c r="A54" s="88"/>
      <c r="B54" s="86"/>
      <c r="C54" s="110"/>
      <c r="D54" s="109"/>
      <c r="E54" s="656" t="str">
        <f>HYPERLINK("https://kaart.delfi.ee//?bookmark=ebd616e171f4882941c876d5ba118858","Voka staadion")</f>
        <v>Voka staadion</v>
      </c>
      <c r="F54" s="133"/>
      <c r="G54" s="61"/>
      <c r="H54" s="86"/>
      <c r="I54" s="88"/>
      <c r="J54" s="109"/>
      <c r="K54" s="710" t="str">
        <f>HYPERLINK("https://kaart.delfi.ee/?bookmark=037591353bf9698628b723dab6c5e799","Valga")</f>
        <v>Valga</v>
      </c>
      <c r="L54" s="123"/>
      <c r="M54" s="664" t="str">
        <f>HYPERLINK("https://kaart.delfi.ee/?bookmark=037591353bf9698628b723dab6c5e799","Valga")</f>
        <v>Valga</v>
      </c>
      <c r="N54" s="164"/>
      <c r="O54" s="6"/>
      <c r="P54" s="6"/>
    </row>
    <row r="55" spans="1:16" x14ac:dyDescent="0.2">
      <c r="A55" s="31"/>
      <c r="B55" s="116">
        <v>7</v>
      </c>
      <c r="C55" s="36"/>
      <c r="D55" s="116">
        <v>8</v>
      </c>
      <c r="E55" s="36"/>
      <c r="F55" s="116">
        <v>9</v>
      </c>
      <c r="G55" s="149"/>
      <c r="H55" s="116">
        <v>10</v>
      </c>
      <c r="I55" s="31"/>
      <c r="J55" s="116">
        <v>11</v>
      </c>
      <c r="K55" s="694" t="str">
        <f>HYPERLINK("https://www.petanque.ee/index.php?id=103820&amp;cid=895","32. Eesti MV")</f>
        <v>32. Eesti MV</v>
      </c>
      <c r="L55" s="116">
        <v>12</v>
      </c>
      <c r="M55" s="149" t="str">
        <f>HYPERLINK("https://www.petanque.ee/index.php?id=103830&amp;cid=984","14. Katariina karikas")</f>
        <v>14. Katariina karikas</v>
      </c>
      <c r="N55" s="126">
        <v>13</v>
      </c>
      <c r="O55" s="6"/>
      <c r="P55" s="28"/>
    </row>
    <row r="56" spans="1:16" x14ac:dyDescent="0.2">
      <c r="A56" s="31"/>
      <c r="B56" s="17"/>
      <c r="C56" s="36"/>
      <c r="D56" s="17"/>
      <c r="E56" s="36"/>
      <c r="F56" s="17"/>
      <c r="G56" s="82"/>
      <c r="H56" s="17"/>
      <c r="I56" s="31"/>
      <c r="J56" s="165"/>
      <c r="K56" s="106" t="s">
        <v>17</v>
      </c>
      <c r="L56" s="17"/>
      <c r="M56" s="82" t="s">
        <v>17</v>
      </c>
      <c r="N56" s="84"/>
      <c r="O56" s="6"/>
      <c r="P56" s="28"/>
    </row>
    <row r="57" spans="1:16" ht="13.5" thickBot="1" x14ac:dyDescent="0.25">
      <c r="A57" s="31"/>
      <c r="B57" s="17"/>
      <c r="C57" s="61"/>
      <c r="D57" s="17"/>
      <c r="E57" s="36"/>
      <c r="F57" s="17"/>
      <c r="G57" s="82"/>
      <c r="H57" s="17"/>
      <c r="I57" s="31"/>
      <c r="J57" s="165"/>
      <c r="K57" s="711" t="str">
        <f>HYPERLINK("https://kaart.delfi.ee//?bookmark=2bb384d42ffa0c5e5f7907ddcf503cac","Võru")</f>
        <v>Võru</v>
      </c>
      <c r="L57" s="17"/>
      <c r="M57" s="707" t="str">
        <f>HYPERLINK("https://kaart.delfi.ee//?bookmark=2bb384d42ffa0c5e5f7907ddcf503cac","Võru")</f>
        <v>Võru</v>
      </c>
      <c r="N57" s="107"/>
      <c r="O57" s="6"/>
      <c r="P57" s="28"/>
    </row>
    <row r="58" spans="1:16" x14ac:dyDescent="0.2">
      <c r="A58" s="93"/>
      <c r="B58" s="78">
        <v>14</v>
      </c>
      <c r="C58" s="36"/>
      <c r="D58" s="78">
        <v>15</v>
      </c>
      <c r="E58" s="51" t="str">
        <f>HYPERLINK("#V8!A5","Voka X KV")</f>
        <v>Voka X KV</v>
      </c>
      <c r="F58" s="78">
        <v>16</v>
      </c>
      <c r="G58" s="80"/>
      <c r="H58" s="79">
        <v>17</v>
      </c>
      <c r="I58" s="675" t="str">
        <f>HYPERLINK("https://www.petanque.ee/index.php?id=103830&amp;cid=985","10. Warrios Cup")</f>
        <v>10. Warrios Cup</v>
      </c>
      <c r="J58" s="78">
        <v>18</v>
      </c>
      <c r="K58" s="675" t="str">
        <f>HYPERLINK("https://www.petanque.ee/index.php?id=103830&amp;cid=986","10. Warrios Cup")</f>
        <v>10. Warrios Cup</v>
      </c>
      <c r="L58" s="78">
        <v>19</v>
      </c>
      <c r="M58" s="675" t="str">
        <f>HYPERLINK("https://www.petanque.ee/index.php?id=103830&amp;cid=987","10. Warrios Cup")</f>
        <v>10. Warrios Cup</v>
      </c>
      <c r="N58" s="130">
        <v>20</v>
      </c>
      <c r="O58" s="6"/>
      <c r="P58" s="28"/>
    </row>
    <row r="59" spans="1:16" x14ac:dyDescent="0.2">
      <c r="A59" s="31"/>
      <c r="B59" s="18"/>
      <c r="C59" s="36"/>
      <c r="D59" s="18"/>
      <c r="E59" s="56" t="s">
        <v>334</v>
      </c>
      <c r="F59" s="132"/>
      <c r="G59" s="82"/>
      <c r="H59" s="166"/>
      <c r="I59" s="676" t="s">
        <v>21</v>
      </c>
      <c r="J59" s="18"/>
      <c r="K59" s="676" t="s">
        <v>17</v>
      </c>
      <c r="L59" s="17"/>
      <c r="M59" s="676" t="s">
        <v>15</v>
      </c>
      <c r="N59" s="30"/>
      <c r="O59" s="6"/>
      <c r="P59" s="6"/>
    </row>
    <row r="60" spans="1:16" ht="13.5" thickBot="1" x14ac:dyDescent="0.25">
      <c r="A60" s="88"/>
      <c r="B60" s="109"/>
      <c r="C60" s="61"/>
      <c r="D60" s="109"/>
      <c r="E60" s="62" t="str">
        <f>HYPERLINK("https://kaart.delfi.ee//?bookmark=ebd616e171f4882941c876d5ba118858","Voka staadion")</f>
        <v>Voka staadion</v>
      </c>
      <c r="F60" s="167"/>
      <c r="G60" s="168"/>
      <c r="H60" s="90"/>
      <c r="I60" s="677" t="str">
        <f>HYPERLINK("https://www.google.com/maps/place/Upesciems+petanque+courts/@56.981644,24.3377492,435m/data=!3m1!1e3!4m5!3m4!1s0x46eecdc33c5e2fb3:0x30c87625d54b1fa9!8m2!3d56.9815098!4d24.3390362","Upesciems (Läti)")</f>
        <v>Upesciems (Läti)</v>
      </c>
      <c r="J60" s="123"/>
      <c r="K60" s="677" t="str">
        <f>HYPERLINK("https://www.google.com/maps/place/Upesciems+petanque+courts/@56.981644,24.3377492,435m/data=!3m1!1e3!4m5!3m4!1s0x46eecdc33c5e2fb3:0x30c87625d54b1fa9!8m2!3d56.9815098!4d24.3390362","Upesciems (Läti)")</f>
        <v>Upesciems (Läti)</v>
      </c>
      <c r="L60" s="123"/>
      <c r="M60" s="677" t="str">
        <f>HYPERLINK("https://www.google.com/maps/place/Upesciems+petanque+courts/@56.981644,24.3377492,435m/data=!3m1!1e3!4m5!3m4!1s0x46eecdc33c5e2fb3:0x30c87625d54b1fa9!8m2!3d56.9815098!4d24.3390362","Upesciems (Läti)")</f>
        <v>Upesciems (Läti)</v>
      </c>
      <c r="N60" s="123"/>
      <c r="O60" s="6"/>
      <c r="P60" s="6"/>
    </row>
    <row r="61" spans="1:16" x14ac:dyDescent="0.2">
      <c r="A61" s="93"/>
      <c r="B61" s="78">
        <v>21</v>
      </c>
      <c r="C61" s="36"/>
      <c r="D61" s="79">
        <v>22</v>
      </c>
      <c r="E61" s="170" t="str">
        <f>HYPERLINK("#V9!A5","Voka X KV")</f>
        <v>Voka X KV</v>
      </c>
      <c r="F61" s="79">
        <v>23</v>
      </c>
      <c r="G61" s="80"/>
      <c r="H61" s="78">
        <v>24</v>
      </c>
      <c r="I61" s="93"/>
      <c r="J61" s="78">
        <v>25</v>
      </c>
      <c r="K61" s="708" t="str">
        <f>HYPERLINK("https://www.petanque.ee/index.php?id=103830&amp;cid=988","9. Valge Daam")</f>
        <v>9. Valge Daam</v>
      </c>
      <c r="L61" s="79">
        <v>26</v>
      </c>
      <c r="M61" s="708" t="str">
        <f>HYPERLINK("https://www.petanque.ee/index.php?id=103830&amp;cid=989","9. Valge Daam")</f>
        <v>9. Valge Daam</v>
      </c>
      <c r="N61" s="79">
        <v>27</v>
      </c>
      <c r="O61" s="6"/>
      <c r="P61" s="6"/>
    </row>
    <row r="62" spans="1:16" x14ac:dyDescent="0.2">
      <c r="A62" s="31"/>
      <c r="B62" s="111"/>
      <c r="C62" s="36"/>
      <c r="D62" s="83"/>
      <c r="E62" s="56" t="s">
        <v>335</v>
      </c>
      <c r="F62" s="132"/>
      <c r="G62" s="149"/>
      <c r="H62" s="111"/>
      <c r="I62" s="17"/>
      <c r="J62" s="17"/>
      <c r="K62" s="650" t="s">
        <v>25</v>
      </c>
      <c r="L62" s="171"/>
      <c r="M62" s="650" t="s">
        <v>25</v>
      </c>
      <c r="N62" s="84"/>
      <c r="O62" s="6"/>
      <c r="P62" s="6"/>
    </row>
    <row r="63" spans="1:16" ht="13.5" thickBot="1" x14ac:dyDescent="0.25">
      <c r="A63" s="88"/>
      <c r="B63" s="123"/>
      <c r="C63" s="61"/>
      <c r="D63" s="90"/>
      <c r="E63" s="62" t="str">
        <f>HYPERLINK("https://kaart.delfi.ee//?bookmark=ebd616e171f4882941c876d5ba118858","Voka staadion")</f>
        <v>Voka staadion</v>
      </c>
      <c r="F63" s="133"/>
      <c r="G63" s="172"/>
      <c r="H63" s="134"/>
      <c r="I63" s="109"/>
      <c r="J63" s="109"/>
      <c r="K63" s="709" t="s">
        <v>16</v>
      </c>
      <c r="L63" s="173"/>
      <c r="M63" s="709" t="s">
        <v>16</v>
      </c>
      <c r="N63" s="91"/>
      <c r="O63" s="6"/>
      <c r="P63" s="6"/>
    </row>
    <row r="64" spans="1:16" x14ac:dyDescent="0.2">
      <c r="A64" s="93"/>
      <c r="B64" s="79">
        <v>28</v>
      </c>
      <c r="C64" s="94"/>
      <c r="D64" s="78">
        <v>29</v>
      </c>
      <c r="E64" s="174"/>
      <c r="F64" s="78">
        <v>30</v>
      </c>
      <c r="G64" s="93"/>
      <c r="H64" s="78">
        <v>31</v>
      </c>
      <c r="I64" s="95"/>
      <c r="J64" s="137"/>
      <c r="K64" s="137"/>
      <c r="L64" s="137"/>
      <c r="M64" s="154"/>
      <c r="N64" s="175"/>
      <c r="O64" s="6"/>
      <c r="P64" s="6"/>
    </row>
    <row r="65" spans="1:19" ht="13.5" thickBot="1" x14ac:dyDescent="0.25">
      <c r="A65" s="31"/>
      <c r="B65" s="83"/>
      <c r="C65" s="17"/>
      <c r="D65" s="18"/>
      <c r="E65" s="34"/>
      <c r="F65" s="18"/>
      <c r="G65" s="31"/>
      <c r="H65" s="18"/>
      <c r="I65" s="96"/>
      <c r="J65" s="137"/>
      <c r="K65" s="137"/>
      <c r="L65" s="137"/>
      <c r="M65" s="154"/>
      <c r="N65" s="175"/>
      <c r="O65" s="6"/>
      <c r="P65" s="6"/>
    </row>
    <row r="66" spans="1:19" ht="13.5" thickBot="1" x14ac:dyDescent="0.25">
      <c r="A66" s="138"/>
      <c r="B66" s="164"/>
      <c r="C66" s="108"/>
      <c r="D66" s="108"/>
      <c r="E66" s="138"/>
      <c r="F66" s="108"/>
      <c r="G66" s="138"/>
      <c r="H66" s="108"/>
      <c r="I66" s="176"/>
      <c r="J66" s="24">
        <v>1</v>
      </c>
      <c r="K66" s="93"/>
      <c r="L66" s="79">
        <v>2</v>
      </c>
      <c r="M66" s="654" t="str">
        <f>HYPERLINK("#V10!A5","Voka X KV")</f>
        <v>Voka X KV</v>
      </c>
      <c r="N66" s="177">
        <v>3</v>
      </c>
      <c r="O66" s="6"/>
    </row>
    <row r="67" spans="1:19" x14ac:dyDescent="0.2">
      <c r="A67" s="179" t="s">
        <v>29</v>
      </c>
      <c r="B67" s="180"/>
      <c r="C67" s="181"/>
      <c r="D67" s="16"/>
      <c r="E67" s="19"/>
      <c r="F67" s="17"/>
      <c r="G67" s="31"/>
      <c r="H67" s="17"/>
      <c r="I67" s="104"/>
      <c r="J67" s="17"/>
      <c r="K67" s="31"/>
      <c r="L67" s="111"/>
      <c r="M67" s="655" t="s">
        <v>336</v>
      </c>
      <c r="N67" s="182"/>
      <c r="O67" s="6"/>
    </row>
    <row r="68" spans="1:19" ht="13.5" thickBot="1" x14ac:dyDescent="0.25">
      <c r="G68" s="31"/>
      <c r="H68" s="17"/>
      <c r="I68" s="104"/>
      <c r="J68" s="17"/>
      <c r="K68" s="183"/>
      <c r="L68" s="111"/>
      <c r="M68" s="713" t="str">
        <f>HYPERLINK("https://kaart.delfi.ee//?bookmark=ebd616e171f4882941c876d5ba118858","Voka staadion")</f>
        <v>Voka staadion</v>
      </c>
      <c r="N68" s="184"/>
      <c r="O68" s="6"/>
    </row>
    <row r="69" spans="1:19" x14ac:dyDescent="0.2">
      <c r="A69" s="129"/>
      <c r="B69" s="79">
        <v>4</v>
      </c>
      <c r="C69" s="94"/>
      <c r="D69" s="78">
        <v>5</v>
      </c>
      <c r="E69" s="94"/>
      <c r="F69" s="79">
        <v>6</v>
      </c>
      <c r="G69" s="94"/>
      <c r="H69" s="78">
        <v>7</v>
      </c>
      <c r="I69" s="93"/>
      <c r="J69" s="79">
        <v>8</v>
      </c>
      <c r="K69" s="663" t="str">
        <f>HYPERLINK("https://www.petanque.ee/index.php?id=103830&amp;cid=992","A.Sirkeli 7.mälestusvõistlus")</f>
        <v>A.Sirkeli 7.mälestusvõistlus</v>
      </c>
      <c r="L69" s="78">
        <v>9</v>
      </c>
      <c r="M69" s="93"/>
      <c r="N69" s="145">
        <v>10</v>
      </c>
      <c r="O69" s="6"/>
      <c r="P69" s="6"/>
    </row>
    <row r="70" spans="1:19" x14ac:dyDescent="0.2">
      <c r="A70" s="135"/>
      <c r="B70" s="83"/>
      <c r="C70" s="17"/>
      <c r="D70" s="185"/>
      <c r="E70" s="17"/>
      <c r="F70" s="111"/>
      <c r="G70" s="17"/>
      <c r="H70" s="18"/>
      <c r="I70" s="31"/>
      <c r="J70" s="83"/>
      <c r="K70" s="17" t="s">
        <v>15</v>
      </c>
      <c r="L70" s="18"/>
      <c r="M70" s="31"/>
      <c r="N70" s="83"/>
      <c r="O70" s="6"/>
      <c r="P70" s="6"/>
    </row>
    <row r="71" spans="1:19" x14ac:dyDescent="0.2">
      <c r="A71" s="135"/>
      <c r="B71" s="83"/>
      <c r="C71" s="17"/>
      <c r="D71" s="185"/>
      <c r="E71" s="17"/>
      <c r="F71" s="111"/>
      <c r="G71" s="17"/>
      <c r="H71" s="18"/>
      <c r="I71" s="31"/>
      <c r="J71" s="83"/>
      <c r="K71" s="714" t="str">
        <f>HYPERLINK("https://kaart.delfi.ee/?bookmark=53aec558b690b02b27df1711c64cd764","Tartu, ERMi viinaköök")</f>
        <v>Tartu, ERMi viinaköök</v>
      </c>
      <c r="L71" s="18"/>
      <c r="M71" s="31"/>
      <c r="N71" s="83"/>
      <c r="O71" s="6"/>
      <c r="P71" s="6"/>
    </row>
    <row r="72" spans="1:19" x14ac:dyDescent="0.2">
      <c r="A72" s="135"/>
      <c r="B72" s="83"/>
      <c r="C72" s="17"/>
      <c r="D72" s="185"/>
      <c r="E72" s="17"/>
      <c r="F72" s="111"/>
      <c r="G72" s="17"/>
      <c r="H72" s="18"/>
      <c r="I72" s="31"/>
      <c r="J72" s="83"/>
      <c r="K72" s="186"/>
      <c r="L72" s="187"/>
      <c r="M72" s="188"/>
      <c r="N72" s="678" t="s">
        <v>45</v>
      </c>
      <c r="O72" s="6"/>
      <c r="P72" s="6"/>
    </row>
    <row r="73" spans="1:19" ht="13.5" thickBot="1" x14ac:dyDescent="0.25">
      <c r="A73" s="135"/>
      <c r="B73" s="83"/>
      <c r="C73" s="137"/>
      <c r="D73" s="18"/>
      <c r="E73" s="17"/>
      <c r="F73" s="111"/>
      <c r="G73" s="17"/>
      <c r="H73" s="18"/>
      <c r="I73" s="31"/>
      <c r="J73" s="83"/>
      <c r="L73" s="679" t="s">
        <v>44</v>
      </c>
      <c r="M73" s="190"/>
      <c r="N73" s="83"/>
      <c r="O73" s="6"/>
    </row>
    <row r="74" spans="1:19" x14ac:dyDescent="0.2">
      <c r="A74" s="93"/>
      <c r="B74" s="79">
        <v>11</v>
      </c>
      <c r="C74" s="94"/>
      <c r="D74" s="78">
        <v>12</v>
      </c>
      <c r="E74" s="93"/>
      <c r="F74" s="78">
        <v>13</v>
      </c>
      <c r="G74" s="93"/>
      <c r="H74" s="78">
        <v>14</v>
      </c>
      <c r="I74" s="93"/>
      <c r="J74" s="78">
        <v>15</v>
      </c>
      <c r="K74" s="716" t="str">
        <f>HYPERLINK("#8!A5","Toila valla lahtised MV")</f>
        <v>Toila valla lahtised MV</v>
      </c>
      <c r="L74" s="79">
        <v>16</v>
      </c>
      <c r="M74" s="93"/>
      <c r="N74" s="79">
        <v>17</v>
      </c>
      <c r="O74" s="6"/>
    </row>
    <row r="75" spans="1:19" x14ac:dyDescent="0.2">
      <c r="A75" s="31"/>
      <c r="B75" s="83"/>
      <c r="C75" s="17"/>
      <c r="D75" s="18"/>
      <c r="E75" s="31"/>
      <c r="F75" s="18"/>
      <c r="G75" s="31"/>
      <c r="H75" s="17"/>
      <c r="I75" s="31"/>
      <c r="J75" s="17"/>
      <c r="K75" s="191" t="s">
        <v>21</v>
      </c>
      <c r="L75" s="192"/>
      <c r="M75" s="31"/>
      <c r="N75" s="107"/>
      <c r="O75" s="6"/>
    </row>
    <row r="76" spans="1:19" x14ac:dyDescent="0.2">
      <c r="A76" s="193"/>
      <c r="B76" s="194"/>
      <c r="C76" s="195"/>
      <c r="D76" s="196"/>
      <c r="E76" s="193"/>
      <c r="F76" s="196"/>
      <c r="G76" s="193"/>
      <c r="H76" s="195"/>
      <c r="I76" s="193"/>
      <c r="J76" s="195"/>
      <c r="K76" s="717" t="str">
        <f>HYPERLINK("http://kaart.delfi.ee//?bookmark=ebd616e171f4882941c876d5ba118858","Voka staadion")</f>
        <v>Voka staadion</v>
      </c>
      <c r="L76" s="197"/>
      <c r="M76" s="193"/>
      <c r="N76" s="198"/>
      <c r="O76" s="6"/>
    </row>
    <row r="77" spans="1:19" x14ac:dyDescent="0.2">
      <c r="A77" s="680" t="s">
        <v>47</v>
      </c>
      <c r="B77" s="199"/>
      <c r="C77" s="188"/>
      <c r="D77" s="199"/>
      <c r="E77" s="188"/>
      <c r="F77" s="189"/>
      <c r="G77" s="186"/>
      <c r="H77" s="188"/>
      <c r="I77" s="188"/>
      <c r="J77" s="682" t="s">
        <v>46</v>
      </c>
      <c r="K77" s="201"/>
      <c r="L77" s="188"/>
      <c r="M77" s="188"/>
      <c r="N77" s="678" t="s">
        <v>49</v>
      </c>
      <c r="O77" s="6"/>
    </row>
    <row r="78" spans="1:19" ht="13.5" thickBot="1" x14ac:dyDescent="0.25">
      <c r="A78" s="88"/>
      <c r="B78" s="202"/>
      <c r="C78" s="681" t="s">
        <v>44</v>
      </c>
      <c r="D78" s="202"/>
      <c r="E78" s="203"/>
      <c r="F78" s="204"/>
      <c r="G78" s="88"/>
      <c r="H78" s="205"/>
      <c r="I78" s="205"/>
      <c r="J78" s="202"/>
      <c r="K78" s="683" t="s">
        <v>44</v>
      </c>
      <c r="L78" s="205"/>
      <c r="M78" s="205"/>
      <c r="N78" s="684" t="s">
        <v>48</v>
      </c>
      <c r="O78" s="6"/>
      <c r="Q78" s="178"/>
      <c r="R78" s="178"/>
      <c r="S78" s="178"/>
    </row>
    <row r="79" spans="1:19" x14ac:dyDescent="0.2">
      <c r="A79" s="31"/>
      <c r="B79" s="116">
        <v>18</v>
      </c>
      <c r="C79" s="93"/>
      <c r="D79" s="116">
        <v>19</v>
      </c>
      <c r="E79" s="36"/>
      <c r="F79" s="116">
        <v>20</v>
      </c>
      <c r="G79" s="31"/>
      <c r="H79" s="116">
        <v>21</v>
      </c>
      <c r="I79" s="31"/>
      <c r="J79" s="116">
        <v>22</v>
      </c>
      <c r="K79" s="93"/>
      <c r="L79" s="116">
        <v>23</v>
      </c>
      <c r="M79" s="93"/>
      <c r="N79" s="206">
        <v>24</v>
      </c>
      <c r="O79" s="6"/>
      <c r="Q79" s="178"/>
      <c r="R79" s="178"/>
      <c r="S79" s="178"/>
    </row>
    <row r="80" spans="1:19" x14ac:dyDescent="0.2">
      <c r="A80" s="31"/>
      <c r="B80" s="127"/>
      <c r="C80" s="31"/>
      <c r="D80" s="17"/>
      <c r="E80" s="36"/>
      <c r="F80" s="127"/>
      <c r="G80" s="17"/>
      <c r="H80" s="17"/>
      <c r="I80" s="32"/>
      <c r="J80" s="127"/>
      <c r="K80" s="31"/>
      <c r="L80" s="17"/>
      <c r="M80" s="31"/>
      <c r="N80" s="107"/>
      <c r="O80" s="6"/>
    </row>
    <row r="81" spans="1:19" x14ac:dyDescent="0.2">
      <c r="A81" s="31"/>
      <c r="B81" s="127"/>
      <c r="C81" s="31"/>
      <c r="D81" s="17"/>
      <c r="E81" s="36"/>
      <c r="F81" s="127"/>
      <c r="G81" s="17"/>
      <c r="H81" s="17"/>
      <c r="I81" s="32"/>
      <c r="J81" s="127"/>
      <c r="K81" s="31"/>
      <c r="L81" s="17"/>
      <c r="M81" s="31"/>
      <c r="N81" s="107"/>
      <c r="O81" s="6"/>
    </row>
    <row r="82" spans="1:19" x14ac:dyDescent="0.2">
      <c r="A82" s="186"/>
      <c r="B82" s="188"/>
      <c r="C82" s="188"/>
      <c r="D82" s="678" t="s">
        <v>49</v>
      </c>
      <c r="E82" s="36"/>
      <c r="F82" s="127"/>
      <c r="G82" s="207"/>
      <c r="H82" s="208"/>
      <c r="I82" s="208"/>
      <c r="J82" s="715" t="s">
        <v>50</v>
      </c>
      <c r="K82" s="208"/>
      <c r="L82" s="208"/>
      <c r="M82" s="208"/>
      <c r="N82" s="209"/>
      <c r="O82" s="6"/>
    </row>
    <row r="83" spans="1:19" ht="13.5" thickBot="1" x14ac:dyDescent="0.25">
      <c r="A83" s="210"/>
      <c r="B83" s="211"/>
      <c r="C83" s="212"/>
      <c r="D83" s="684" t="s">
        <v>48</v>
      </c>
      <c r="E83" s="47"/>
      <c r="F83" s="213"/>
      <c r="G83" s="214"/>
      <c r="H83" s="215"/>
      <c r="I83" s="215"/>
      <c r="J83" s="215"/>
      <c r="K83" s="687" t="s">
        <v>48</v>
      </c>
      <c r="L83" s="215"/>
      <c r="M83" s="216"/>
      <c r="N83" s="217"/>
      <c r="O83" s="6"/>
    </row>
    <row r="84" spans="1:19" x14ac:dyDescent="0.2">
      <c r="A84" s="23"/>
      <c r="B84" s="24">
        <v>25</v>
      </c>
      <c r="C84" s="23"/>
      <c r="D84" s="24">
        <v>26</v>
      </c>
      <c r="E84" s="23"/>
      <c r="F84" s="24">
        <v>27</v>
      </c>
      <c r="G84" s="31"/>
      <c r="H84" s="116">
        <v>28</v>
      </c>
      <c r="I84" s="31"/>
      <c r="J84" s="126">
        <v>29</v>
      </c>
      <c r="K84" s="668" t="str">
        <f>HYPERLINK("#8!A5","Toila valla lahtised MV")</f>
        <v>Toila valla lahtised MV</v>
      </c>
      <c r="L84" s="218">
        <v>30</v>
      </c>
      <c r="O84" s="9"/>
    </row>
    <row r="85" spans="1:19" x14ac:dyDescent="0.2">
      <c r="A85" s="31"/>
      <c r="B85" s="18"/>
      <c r="C85" s="31"/>
      <c r="D85" s="18"/>
      <c r="E85" s="31"/>
      <c r="F85" s="18"/>
      <c r="G85" s="31"/>
      <c r="H85" s="18"/>
      <c r="I85" s="31"/>
      <c r="J85" s="83"/>
      <c r="K85" s="191" t="s">
        <v>17</v>
      </c>
      <c r="L85" s="219"/>
      <c r="O85" s="9"/>
    </row>
    <row r="86" spans="1:19" ht="13.5" thickBot="1" x14ac:dyDescent="0.25">
      <c r="A86" s="88"/>
      <c r="B86" s="86"/>
      <c r="C86" s="88"/>
      <c r="D86" s="86"/>
      <c r="E86" s="88"/>
      <c r="F86" s="86"/>
      <c r="G86" s="88"/>
      <c r="H86" s="86"/>
      <c r="I86" s="88"/>
      <c r="J86" s="90"/>
      <c r="K86" s="220" t="str">
        <f>HYPERLINK("http://kaart.delfi.ee//?bookmark=ebd616e171f4882941c876d5ba118858","Voka staadion")</f>
        <v>Voka staadion</v>
      </c>
      <c r="L86" s="221"/>
      <c r="O86" s="9"/>
    </row>
    <row r="87" spans="1:19" ht="13.5" thickBot="1" x14ac:dyDescent="0.25">
      <c r="A87" s="179" t="s">
        <v>30</v>
      </c>
      <c r="B87" s="180"/>
      <c r="C87" s="181"/>
      <c r="D87" s="16"/>
      <c r="E87" s="17"/>
      <c r="F87" s="18"/>
      <c r="G87" s="17"/>
      <c r="H87" s="18"/>
      <c r="I87" s="17"/>
      <c r="J87" s="18"/>
      <c r="O87" s="9"/>
    </row>
    <row r="88" spans="1:19" x14ac:dyDescent="0.2">
      <c r="A88" s="129"/>
      <c r="B88" s="79">
        <v>4</v>
      </c>
      <c r="C88" s="94"/>
      <c r="D88" s="78">
        <v>5</v>
      </c>
      <c r="E88" s="68"/>
      <c r="F88" s="79">
        <v>6</v>
      </c>
      <c r="G88" s="94"/>
      <c r="H88" s="78">
        <v>7</v>
      </c>
      <c r="I88" s="93"/>
      <c r="J88" s="222">
        <v>8</v>
      </c>
      <c r="K88" s="685" t="str">
        <f>HYPERLINK("https://www.petanque.ee/index.php?id=103830&amp;cid=1010","4.Baltic Sea Cup for Clubs")</f>
        <v>4.Baltic Sea Cup for Clubs</v>
      </c>
      <c r="L88" s="24">
        <v>9</v>
      </c>
      <c r="M88" s="685" t="str">
        <f>HYPERLINK("https://www.petanque.ee/index.php?id=103830&amp;cid=1010","4.Baltic Sea Cup for Clubs")</f>
        <v>4.Baltic Sea Cup for Clubs</v>
      </c>
      <c r="N88" s="223">
        <v>10</v>
      </c>
      <c r="O88" s="6"/>
      <c r="P88" s="6"/>
    </row>
    <row r="89" spans="1:19" x14ac:dyDescent="0.2">
      <c r="A89" s="135"/>
      <c r="B89" s="83"/>
      <c r="C89" s="17"/>
      <c r="D89" s="185"/>
      <c r="E89" s="36"/>
      <c r="F89" s="111"/>
      <c r="G89" s="17"/>
      <c r="H89" s="18"/>
      <c r="I89" s="31"/>
      <c r="J89" s="83"/>
      <c r="K89" s="676" t="s">
        <v>31</v>
      </c>
      <c r="L89" s="18"/>
      <c r="M89" s="676" t="s">
        <v>31</v>
      </c>
      <c r="N89" s="83"/>
      <c r="O89" s="6"/>
      <c r="P89" s="6"/>
    </row>
    <row r="90" spans="1:19" ht="13.5" thickBot="1" x14ac:dyDescent="0.25">
      <c r="A90" s="138"/>
      <c r="B90" s="90"/>
      <c r="C90" s="108"/>
      <c r="D90" s="18"/>
      <c r="E90" s="61"/>
      <c r="F90" s="123"/>
      <c r="G90" s="17"/>
      <c r="H90" s="18"/>
      <c r="I90" s="88"/>
      <c r="J90" s="90"/>
      <c r="K90" s="686" t="s">
        <v>13</v>
      </c>
      <c r="L90" s="18"/>
      <c r="M90" s="672" t="s">
        <v>13</v>
      </c>
      <c r="N90" s="90"/>
      <c r="O90" s="6"/>
    </row>
    <row r="91" spans="1:19" x14ac:dyDescent="0.2">
      <c r="A91" s="93"/>
      <c r="B91" s="78">
        <v>11</v>
      </c>
      <c r="C91" s="93"/>
      <c r="D91" s="78">
        <v>12</v>
      </c>
      <c r="E91" s="93"/>
      <c r="F91" s="78">
        <v>13</v>
      </c>
      <c r="G91" s="93"/>
      <c r="H91" s="78">
        <v>14</v>
      </c>
      <c r="I91" s="93"/>
      <c r="J91" s="78">
        <v>15</v>
      </c>
      <c r="K91" s="93"/>
      <c r="L91" s="78">
        <v>16</v>
      </c>
      <c r="M91" s="93"/>
      <c r="N91" s="79">
        <v>17</v>
      </c>
      <c r="O91" s="6"/>
    </row>
    <row r="92" spans="1:19" hidden="1" x14ac:dyDescent="0.2">
      <c r="A92" s="31"/>
      <c r="B92" s="111"/>
      <c r="C92" s="17"/>
      <c r="D92" s="17"/>
      <c r="E92" s="31"/>
      <c r="F92" s="17"/>
      <c r="G92" s="31"/>
      <c r="H92" s="17"/>
      <c r="I92" s="31"/>
      <c r="J92" s="17"/>
      <c r="K92" s="31"/>
      <c r="L92" s="17"/>
      <c r="M92" s="31"/>
      <c r="N92" s="107"/>
      <c r="O92" s="6"/>
      <c r="Q92" s="178"/>
      <c r="R92" s="178"/>
      <c r="S92" s="178"/>
    </row>
    <row r="93" spans="1:19" x14ac:dyDescent="0.2">
      <c r="A93" s="31"/>
      <c r="B93" s="111"/>
      <c r="C93" s="186"/>
      <c r="D93" s="682" t="s">
        <v>51</v>
      </c>
      <c r="E93" s="200"/>
      <c r="F93" s="188"/>
      <c r="G93" s="188"/>
      <c r="H93" s="188"/>
      <c r="I93" s="188"/>
      <c r="J93" s="224"/>
      <c r="K93" s="17"/>
      <c r="L93" s="17"/>
      <c r="M93" s="31"/>
      <c r="N93" s="107"/>
      <c r="O93" s="6"/>
      <c r="Q93" s="178"/>
      <c r="R93" s="178"/>
      <c r="S93" s="178"/>
    </row>
    <row r="94" spans="1:19" ht="13.5" thickBot="1" x14ac:dyDescent="0.25">
      <c r="A94" s="88"/>
      <c r="B94" s="123"/>
      <c r="C94" s="225"/>
      <c r="D94" s="205"/>
      <c r="E94" s="205"/>
      <c r="F94" s="687" t="s">
        <v>48</v>
      </c>
      <c r="G94" s="205"/>
      <c r="H94" s="205"/>
      <c r="I94" s="109"/>
      <c r="J94" s="109"/>
      <c r="K94" s="226"/>
      <c r="L94" s="109"/>
      <c r="M94" s="169"/>
      <c r="N94" s="91"/>
      <c r="O94" s="6"/>
      <c r="Q94" s="178"/>
      <c r="R94" s="178"/>
      <c r="S94" s="178"/>
    </row>
    <row r="95" spans="1:19" x14ac:dyDescent="0.2">
      <c r="A95" s="93"/>
      <c r="B95" s="78">
        <v>16</v>
      </c>
      <c r="C95" s="93"/>
      <c r="D95" s="78">
        <v>17</v>
      </c>
      <c r="E95" s="68"/>
      <c r="F95" s="78">
        <v>18</v>
      </c>
      <c r="G95" s="93"/>
      <c r="H95" s="78">
        <v>19</v>
      </c>
      <c r="I95" s="93"/>
      <c r="J95" s="78">
        <v>20</v>
      </c>
      <c r="K95" s="227" t="str">
        <f>HYPERLINK("https://www.petanque.ee/index.php?id=103830&amp;cid=1016","2. Eesti MV")</f>
        <v>2. Eesti MV</v>
      </c>
      <c r="L95" s="78">
        <v>21</v>
      </c>
      <c r="M95" s="93"/>
      <c r="N95" s="103">
        <v>22</v>
      </c>
      <c r="O95" s="6"/>
      <c r="Q95" s="178"/>
      <c r="R95" s="178"/>
      <c r="S95" s="178"/>
    </row>
    <row r="96" spans="1:19" x14ac:dyDescent="0.2">
      <c r="A96" s="31"/>
      <c r="B96" s="127"/>
      <c r="C96" s="31"/>
      <c r="D96" s="17"/>
      <c r="E96" s="36"/>
      <c r="F96" s="127"/>
      <c r="G96" s="17"/>
      <c r="H96" s="17"/>
      <c r="I96" s="32"/>
      <c r="J96" s="127"/>
      <c r="K96" s="106" t="s">
        <v>32</v>
      </c>
      <c r="L96" s="17"/>
      <c r="M96" s="31"/>
      <c r="N96" s="107"/>
      <c r="O96" s="6"/>
    </row>
    <row r="97" spans="1:19" ht="13.5" thickBot="1" x14ac:dyDescent="0.25">
      <c r="A97" s="40"/>
      <c r="B97" s="213"/>
      <c r="C97" s="138"/>
      <c r="D97" s="101"/>
      <c r="E97" s="47"/>
      <c r="F97" s="213"/>
      <c r="G97" s="101"/>
      <c r="H97" s="101"/>
      <c r="I97" s="42"/>
      <c r="J97" s="213"/>
      <c r="K97" s="228" t="str">
        <f>HYPERLINK("https://kaart.delfi.ee/?bookmark=73a75c2d8ed4a34c764e205c87288d20","Harku, Pikk 19")</f>
        <v>Harku, Pikk 19</v>
      </c>
      <c r="L97" s="101"/>
      <c r="M97" s="183"/>
      <c r="N97" s="115"/>
      <c r="O97" s="6"/>
    </row>
    <row r="98" spans="1:19" x14ac:dyDescent="0.2">
      <c r="A98" s="31"/>
      <c r="B98" s="116">
        <v>23</v>
      </c>
      <c r="C98" s="93"/>
      <c r="D98" s="116">
        <v>24</v>
      </c>
      <c r="E98" s="36"/>
      <c r="F98" s="116">
        <v>25</v>
      </c>
      <c r="G98" s="31"/>
      <c r="H98" s="116">
        <v>26</v>
      </c>
      <c r="I98" s="31"/>
      <c r="J98" s="116">
        <v>27</v>
      </c>
      <c r="K98" s="688" t="str">
        <f>HYPERLINK("https://www.petanque.ee/index.php?id=103830&amp;cid=1017","3. Eesti-Läti maavõistlus")</f>
        <v>3. Eesti-Läti maavõistlus</v>
      </c>
      <c r="L98" s="116">
        <v>28</v>
      </c>
      <c r="M98" s="93"/>
      <c r="N98" s="206">
        <v>29</v>
      </c>
      <c r="O98" s="6"/>
      <c r="Q98" s="178"/>
      <c r="R98" s="178"/>
      <c r="S98" s="178"/>
    </row>
    <row r="99" spans="1:19" x14ac:dyDescent="0.2">
      <c r="A99" s="31"/>
      <c r="B99" s="127"/>
      <c r="C99" s="31"/>
      <c r="D99" s="17"/>
      <c r="E99" s="36"/>
      <c r="F99" s="127"/>
      <c r="G99" s="17"/>
      <c r="H99" s="17"/>
      <c r="I99" s="32"/>
      <c r="J99" s="127"/>
      <c r="K99" s="689" t="s">
        <v>33</v>
      </c>
      <c r="L99" s="17"/>
      <c r="M99" s="31"/>
      <c r="N99" s="107"/>
      <c r="O99" s="6"/>
    </row>
    <row r="100" spans="1:19" ht="13.5" thickBot="1" x14ac:dyDescent="0.25">
      <c r="A100" s="88"/>
      <c r="B100" s="134"/>
      <c r="C100" s="138"/>
      <c r="D100" s="109"/>
      <c r="E100" s="61"/>
      <c r="F100" s="134"/>
      <c r="G100" s="109"/>
      <c r="H100" s="109"/>
      <c r="I100" s="85"/>
      <c r="J100" s="134"/>
      <c r="K100" s="229" t="str">
        <f>HYPERLINK("https://kaart.delfi.ee/?bookmark=73a75c2d8ed4a34c764e205c87288d20","Harku, Pikk 19")</f>
        <v>Harku, Pikk 19</v>
      </c>
      <c r="L100" s="109"/>
      <c r="M100" s="183"/>
      <c r="N100" s="115"/>
      <c r="O100" s="6"/>
    </row>
    <row r="101" spans="1:19" ht="13.5" thickBot="1" x14ac:dyDescent="0.25">
      <c r="A101" s="179" t="s">
        <v>52</v>
      </c>
      <c r="B101" s="180"/>
      <c r="C101" s="181"/>
      <c r="D101" s="16"/>
      <c r="E101" s="17"/>
      <c r="F101" s="18"/>
      <c r="G101" s="17"/>
      <c r="H101" s="18"/>
      <c r="I101" s="17"/>
      <c r="J101" s="18"/>
      <c r="O101" s="9"/>
    </row>
    <row r="102" spans="1:19" x14ac:dyDescent="0.2">
      <c r="A102" s="129"/>
      <c r="B102" s="79">
        <v>6</v>
      </c>
      <c r="C102" s="94"/>
      <c r="D102" s="78">
        <v>7</v>
      </c>
      <c r="E102" s="68"/>
      <c r="F102" s="79">
        <v>8</v>
      </c>
      <c r="G102" s="94"/>
      <c r="H102" s="78">
        <v>9</v>
      </c>
      <c r="I102" s="93"/>
      <c r="J102" s="222">
        <v>10</v>
      </c>
      <c r="K102" s="94"/>
      <c r="L102" s="24">
        <v>11</v>
      </c>
      <c r="M102" s="94"/>
      <c r="N102" s="223">
        <v>12</v>
      </c>
      <c r="O102" s="6"/>
      <c r="P102" s="6"/>
    </row>
    <row r="103" spans="1:19" hidden="1" x14ac:dyDescent="0.2">
      <c r="A103" s="135"/>
      <c r="B103" s="83"/>
      <c r="C103" s="17"/>
      <c r="D103" s="185"/>
      <c r="E103" s="36"/>
      <c r="F103" s="111"/>
      <c r="G103" s="17"/>
      <c r="H103" s="18"/>
      <c r="I103" s="31"/>
      <c r="J103" s="83"/>
      <c r="K103" s="17"/>
      <c r="L103" s="18"/>
      <c r="M103" s="17"/>
      <c r="N103" s="83"/>
      <c r="O103" s="6"/>
      <c r="P103" s="6"/>
    </row>
    <row r="104" spans="1:19" x14ac:dyDescent="0.2">
      <c r="A104" s="135"/>
      <c r="B104" s="83"/>
      <c r="C104" s="17"/>
      <c r="D104" s="185"/>
      <c r="E104" s="36"/>
      <c r="F104" s="111"/>
      <c r="G104" s="186"/>
      <c r="H104" s="199"/>
      <c r="I104" s="188"/>
      <c r="J104" s="690" t="str">
        <f>HYPERLINK("https://www.petanque.ee/index.php?id=103830&amp;cid=1018","24. EuroCup finaal")</f>
        <v>24. EuroCup finaal</v>
      </c>
      <c r="K104" s="188"/>
      <c r="L104" s="199"/>
      <c r="M104" s="188"/>
      <c r="N104" s="230"/>
      <c r="O104" s="6"/>
      <c r="P104" s="6"/>
    </row>
    <row r="105" spans="1:19" ht="13.5" thickBot="1" x14ac:dyDescent="0.25">
      <c r="A105" s="138"/>
      <c r="B105" s="90"/>
      <c r="C105" s="108"/>
      <c r="D105" s="18"/>
      <c r="E105" s="61"/>
      <c r="F105" s="123"/>
      <c r="G105" s="225"/>
      <c r="H105" s="231"/>
      <c r="I105" s="205"/>
      <c r="J105" s="691" t="s">
        <v>53</v>
      </c>
      <c r="K105" s="205"/>
      <c r="L105" s="231"/>
      <c r="M105" s="205"/>
      <c r="N105" s="232"/>
      <c r="O105" s="6"/>
    </row>
    <row r="106" spans="1:19" x14ac:dyDescent="0.2">
      <c r="A106" s="93"/>
      <c r="B106" s="78">
        <v>20</v>
      </c>
      <c r="C106" s="93"/>
      <c r="D106" s="78">
        <v>21</v>
      </c>
      <c r="E106" s="93"/>
      <c r="F106" s="78">
        <v>22</v>
      </c>
      <c r="G106" s="93"/>
      <c r="H106" s="78">
        <v>23</v>
      </c>
      <c r="I106" s="93"/>
      <c r="J106" s="78">
        <v>24</v>
      </c>
      <c r="K106" s="93"/>
      <c r="L106" s="78">
        <v>25</v>
      </c>
      <c r="M106" s="93"/>
      <c r="N106" s="79">
        <v>26</v>
      </c>
      <c r="O106" s="6"/>
    </row>
    <row r="107" spans="1:19" hidden="1" x14ac:dyDescent="0.2">
      <c r="A107" s="31"/>
      <c r="B107" s="111"/>
      <c r="C107" s="31"/>
      <c r="D107" s="17"/>
      <c r="E107" s="32"/>
      <c r="F107" s="127"/>
      <c r="G107" s="17"/>
      <c r="H107" s="17"/>
      <c r="I107" s="31"/>
      <c r="J107" s="17"/>
      <c r="K107" s="31"/>
      <c r="L107" s="17"/>
      <c r="M107" s="31"/>
      <c r="N107" s="107"/>
      <c r="O107" s="6"/>
      <c r="Q107" s="178"/>
      <c r="R107" s="178"/>
      <c r="S107" s="178"/>
    </row>
    <row r="108" spans="1:19" x14ac:dyDescent="0.2">
      <c r="A108" s="31"/>
      <c r="B108" s="111"/>
      <c r="C108" s="31"/>
      <c r="D108" s="233"/>
      <c r="E108" s="234"/>
      <c r="F108" s="127"/>
      <c r="G108" s="188"/>
      <c r="H108" s="188"/>
      <c r="I108" s="235"/>
      <c r="J108" s="692" t="s">
        <v>55</v>
      </c>
      <c r="K108" s="235"/>
      <c r="L108" s="235"/>
      <c r="M108" s="235"/>
      <c r="N108" s="236"/>
      <c r="O108" s="6"/>
      <c r="Q108" s="178"/>
      <c r="R108" s="178"/>
      <c r="S108" s="178"/>
    </row>
    <row r="109" spans="1:19" ht="13.5" thickBot="1" x14ac:dyDescent="0.25">
      <c r="A109" s="88"/>
      <c r="B109" s="123"/>
      <c r="C109" s="88"/>
      <c r="D109" s="109"/>
      <c r="E109" s="85"/>
      <c r="F109" s="237"/>
      <c r="G109" s="205"/>
      <c r="H109" s="205"/>
      <c r="I109" s="205"/>
      <c r="J109" s="205"/>
      <c r="K109" s="693" t="s">
        <v>54</v>
      </c>
      <c r="L109" s="205"/>
      <c r="M109" s="238"/>
      <c r="N109" s="239"/>
      <c r="O109" s="6"/>
      <c r="Q109" s="178"/>
      <c r="R109" s="178"/>
      <c r="S109" s="178"/>
    </row>
    <row r="110" spans="1:19" x14ac:dyDescent="0.2">
      <c r="O110" s="9"/>
    </row>
    <row r="111" spans="1:19" ht="13.5" hidden="1" customHeight="1" thickBot="1" x14ac:dyDescent="0.25">
      <c r="A111" s="240" t="s">
        <v>34</v>
      </c>
      <c r="B111" s="180"/>
      <c r="C111" s="181"/>
      <c r="D111" s="16"/>
      <c r="E111" s="17"/>
      <c r="F111" s="17"/>
      <c r="G111" s="154"/>
      <c r="H111" s="17"/>
      <c r="I111" s="17"/>
      <c r="J111" s="17"/>
      <c r="K111" s="17"/>
      <c r="L111" s="17"/>
      <c r="M111" s="17"/>
      <c r="N111" s="17"/>
      <c r="O111" s="6"/>
      <c r="P111" s="6"/>
    </row>
    <row r="112" spans="1:19" ht="12.75" hidden="1" customHeight="1" x14ac:dyDescent="0.2">
      <c r="A112" s="25"/>
      <c r="B112" s="22">
        <v>5</v>
      </c>
      <c r="C112" s="241"/>
      <c r="D112" s="24">
        <v>6</v>
      </c>
      <c r="E112" s="23"/>
      <c r="F112" s="222">
        <v>7</v>
      </c>
      <c r="G112" s="241"/>
      <c r="H112" s="24">
        <v>8</v>
      </c>
      <c r="I112" s="25"/>
      <c r="J112" s="22">
        <v>9</v>
      </c>
      <c r="K112" s="241"/>
      <c r="L112" s="24">
        <v>10</v>
      </c>
      <c r="M112" s="25"/>
      <c r="N112" s="22">
        <v>11</v>
      </c>
      <c r="O112" s="6"/>
      <c r="P112" s="6"/>
    </row>
    <row r="113" spans="1:16" ht="12.75" hidden="1" customHeight="1" x14ac:dyDescent="0.2">
      <c r="A113" s="32"/>
      <c r="B113" s="30"/>
      <c r="C113" s="17"/>
      <c r="D113" s="18"/>
      <c r="E113" s="31"/>
      <c r="F113" s="83"/>
      <c r="G113" s="17"/>
      <c r="H113" s="18"/>
      <c r="I113" s="32"/>
      <c r="J113" s="30"/>
      <c r="K113" s="17"/>
      <c r="L113" s="18"/>
      <c r="M113" s="32"/>
      <c r="N113" s="30"/>
      <c r="O113" s="6"/>
      <c r="P113" s="6"/>
    </row>
    <row r="114" spans="1:16" ht="12.75" hidden="1" customHeight="1" x14ac:dyDescent="0.2">
      <c r="A114" s="32"/>
      <c r="B114" s="30"/>
      <c r="C114" s="17"/>
      <c r="D114" s="18"/>
      <c r="E114" s="31"/>
      <c r="F114" s="83"/>
      <c r="G114" s="112"/>
      <c r="H114" s="242"/>
      <c r="I114" s="243"/>
      <c r="J114" s="244"/>
      <c r="K114" s="245"/>
      <c r="L114" s="242"/>
      <c r="M114" s="243"/>
      <c r="N114" s="244"/>
      <c r="O114" s="6"/>
      <c r="P114" s="6"/>
    </row>
    <row r="115" spans="1:16" ht="12.75" hidden="1" customHeight="1" x14ac:dyDescent="0.2">
      <c r="A115" s="246"/>
      <c r="B115" s="127"/>
      <c r="C115" s="247"/>
      <c r="D115" s="248"/>
      <c r="E115" s="135"/>
      <c r="F115" s="136"/>
      <c r="G115" s="249"/>
      <c r="H115" s="250"/>
      <c r="I115" s="251"/>
      <c r="J115" s="252" t="str">
        <f>HYPERLINK("https://www.petanque.ee/index.php?id=103820&amp;cid=926","50. Meeste MM, TRIO, TUL")</f>
        <v>50. Meeste MM, TRIO, TUL</v>
      </c>
      <c r="K115" s="253"/>
      <c r="L115" s="254"/>
      <c r="M115" s="255"/>
      <c r="N115" s="256"/>
      <c r="O115" s="6"/>
      <c r="P115" s="6"/>
    </row>
    <row r="116" spans="1:16" ht="13.5" hidden="1" customHeight="1" thickBot="1" x14ac:dyDescent="0.25">
      <c r="A116" s="257"/>
      <c r="B116" s="213"/>
      <c r="C116" s="258"/>
      <c r="D116" s="259"/>
      <c r="E116" s="260"/>
      <c r="F116" s="261"/>
      <c r="G116" s="262"/>
      <c r="H116" s="263"/>
      <c r="I116" s="264"/>
      <c r="J116" s="264"/>
      <c r="K116" s="265" t="str">
        <f>HYPERLINK("https://www.google.com/maps/place/Cotonou,+Benin/@6.3722837,2.2560915,11z/data=!3m1!4b1!4m5!3m4!1s0x102354e509f894f7:0xc8fde921f89849f6!8m2!3d6.3702928!4d2.3912362","Cotonou (Benin)")</f>
        <v>Cotonou (Benin)</v>
      </c>
      <c r="L116" s="101"/>
      <c r="M116" s="101"/>
      <c r="N116" s="266"/>
      <c r="O116" s="6"/>
      <c r="P116" s="6"/>
    </row>
    <row r="117" spans="1:16" hidden="1" x14ac:dyDescent="0.2">
      <c r="A117" s="154"/>
      <c r="B117" s="17"/>
      <c r="C117" s="247"/>
      <c r="D117" s="248"/>
      <c r="E117" s="248"/>
      <c r="F117" s="17"/>
      <c r="G117" s="267"/>
      <c r="H117" s="268"/>
      <c r="I117" s="19"/>
      <c r="J117" s="19"/>
      <c r="K117" s="269"/>
      <c r="L117" s="17"/>
      <c r="M117" s="17"/>
      <c r="N117" s="270"/>
      <c r="O117" s="6"/>
      <c r="P117" s="6"/>
    </row>
    <row r="118" spans="1:16" hidden="1" x14ac:dyDescent="0.2">
      <c r="A118" s="154"/>
      <c r="B118" s="17"/>
      <c r="C118" s="247"/>
      <c r="D118" s="248"/>
      <c r="E118" s="248"/>
      <c r="F118" s="17"/>
      <c r="G118" s="267"/>
      <c r="H118" s="268"/>
      <c r="I118" s="19"/>
      <c r="J118" s="19"/>
      <c r="K118" s="269"/>
      <c r="L118" s="17"/>
      <c r="M118" s="17"/>
      <c r="N118" s="270"/>
      <c r="O118" s="6"/>
      <c r="P118" s="6"/>
    </row>
    <row r="119" spans="1:16" hidden="1" x14ac:dyDescent="0.2">
      <c r="A119" s="271" t="s">
        <v>35</v>
      </c>
      <c r="B119" s="272"/>
      <c r="C119" s="273"/>
      <c r="D119" s="273"/>
      <c r="E119" s="272"/>
      <c r="F119" s="272"/>
      <c r="G119" s="273"/>
      <c r="H119" s="273"/>
      <c r="I119" s="273"/>
      <c r="J119" s="273"/>
      <c r="K119" s="273"/>
      <c r="L119" s="8"/>
      <c r="M119" s="8"/>
      <c r="N119" s="274"/>
      <c r="O119" s="6"/>
      <c r="P119" s="6"/>
    </row>
    <row r="120" spans="1:16" hidden="1" x14ac:dyDescent="0.2">
      <c r="A120" s="275" t="s">
        <v>36</v>
      </c>
      <c r="B120" s="272"/>
      <c r="C120" s="273"/>
      <c r="D120" s="273"/>
      <c r="E120" s="272"/>
      <c r="F120" s="272"/>
      <c r="G120" s="273"/>
      <c r="H120" s="273"/>
      <c r="I120" s="273"/>
      <c r="J120" s="273"/>
      <c r="K120" s="273"/>
      <c r="L120" s="273"/>
      <c r="M120" s="273"/>
      <c r="N120" s="274"/>
      <c r="O120" s="6"/>
      <c r="P120" s="6"/>
    </row>
    <row r="121" spans="1:16" x14ac:dyDescent="0.2">
      <c r="A121" s="276" t="s">
        <v>37</v>
      </c>
      <c r="B121" s="276"/>
      <c r="C121" s="276"/>
      <c r="D121" s="276"/>
      <c r="E121" s="276"/>
      <c r="F121" s="276"/>
      <c r="G121" s="276"/>
      <c r="H121" s="277"/>
      <c r="I121" s="278" t="str">
        <f>HYPERLINK("","Juhend")</f>
        <v>Juhend</v>
      </c>
      <c r="J121" s="8"/>
      <c r="L121" s="8"/>
      <c r="M121" s="8"/>
      <c r="N121" s="274"/>
      <c r="O121" s="6"/>
      <c r="P121" s="6"/>
    </row>
    <row r="122" spans="1:16" x14ac:dyDescent="0.2">
      <c r="A122" s="279" t="s">
        <v>348</v>
      </c>
      <c r="B122" s="8"/>
      <c r="C122" s="8"/>
      <c r="D122" s="8"/>
      <c r="E122" s="8"/>
      <c r="F122" s="8"/>
      <c r="G122" s="8"/>
      <c r="H122" s="8"/>
      <c r="J122" s="8"/>
      <c r="K122" s="8"/>
      <c r="L122" s="8"/>
      <c r="M122" s="8"/>
      <c r="N122" s="278" t="str">
        <f>HYPERLINK("https://www.petanque.ee/juhendid/reitingu-juhend-2023/","Juhend")</f>
        <v>Juhend</v>
      </c>
      <c r="O122" s="6"/>
      <c r="P122" s="6"/>
    </row>
    <row r="123" spans="1:16" x14ac:dyDescent="0.2">
      <c r="A123" s="280" t="s">
        <v>40</v>
      </c>
      <c r="B123" s="8"/>
      <c r="C123" s="8"/>
      <c r="D123" s="8"/>
      <c r="E123" s="274"/>
      <c r="F123" s="274"/>
      <c r="G123" s="8"/>
      <c r="H123" s="8"/>
      <c r="I123" s="6"/>
      <c r="J123" s="6"/>
      <c r="K123" s="6"/>
      <c r="L123" s="8"/>
      <c r="M123" s="8"/>
      <c r="N123" s="281" t="s">
        <v>41</v>
      </c>
      <c r="O123" s="6"/>
      <c r="P123" s="6"/>
    </row>
    <row r="124" spans="1:16" x14ac:dyDescent="0.2">
      <c r="A124" s="17"/>
      <c r="B124" s="17"/>
      <c r="C124" s="17"/>
      <c r="D124" s="17"/>
      <c r="E124" s="17"/>
      <c r="F124" s="17"/>
      <c r="G124" s="154"/>
      <c r="H124" s="17"/>
      <c r="I124" s="17"/>
      <c r="J124" s="282"/>
      <c r="K124" s="17"/>
      <c r="L124" s="283"/>
      <c r="M124" s="247"/>
      <c r="N124" s="17"/>
      <c r="O124" s="6"/>
      <c r="P124" s="6"/>
    </row>
  </sheetData>
  <pageMargins left="0.27559055118110237" right="0.19685039370078741" top="0.27559055118110237" bottom="0.19685039370078741" header="0.27559055118110237" footer="0"/>
  <pageSetup paperSize="9" fitToHeight="0" orientation="portrait" r:id="rId1"/>
  <headerFooter>
    <oddHeader>&amp;R&amp;9&amp;P. leht &amp;N&amp; -st</oddHeader>
  </headerFooter>
  <rowBreaks count="1" manualBreakCount="1">
    <brk id="50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00"/>
    <pageSetUpPr fitToPage="1"/>
  </sheetPr>
  <dimension ref="A1:BS125"/>
  <sheetViews>
    <sheetView showGridLines="0" showRowColHeaders="0" zoomScaleNormal="100" workbookViewId="0">
      <pane ySplit="6" topLeftCell="A7" activePane="bottomLeft" state="frozen"/>
      <selection pane="bottomLeft" activeCell="AB1" sqref="AB1"/>
    </sheetView>
  </sheetViews>
  <sheetFormatPr defaultRowHeight="12.75" x14ac:dyDescent="0.2"/>
  <cols>
    <col min="1" max="1" width="6.140625" style="377" customWidth="1"/>
    <col min="2" max="2" width="7.42578125" style="377" hidden="1" customWidth="1"/>
    <col min="3" max="3" width="7.5703125" style="377" customWidth="1"/>
    <col min="4" max="4" width="9.140625" style="377" hidden="1" customWidth="1"/>
    <col min="5" max="5" width="3.140625" style="377" hidden="1" customWidth="1"/>
    <col min="6" max="6" width="4.42578125" style="377" hidden="1" customWidth="1"/>
    <col min="7" max="7" width="3" style="377" customWidth="1"/>
    <col min="8" max="8" width="6.7109375" style="377" hidden="1" customWidth="1"/>
    <col min="9" max="9" width="2.7109375" style="377" customWidth="1"/>
    <col min="10" max="10" width="8.28515625" style="377" hidden="1" customWidth="1"/>
    <col min="11" max="11" width="6" style="377" customWidth="1"/>
    <col min="12" max="12" width="21.140625" style="377" customWidth="1"/>
    <col min="13" max="16" width="3" style="377" hidden="1" customWidth="1"/>
    <col min="17" max="17" width="10" style="377" hidden="1" customWidth="1"/>
    <col min="18" max="18" width="7.42578125" style="377" customWidth="1"/>
    <col min="19" max="19" width="26.5703125" style="377" hidden="1" customWidth="1"/>
    <col min="20" max="20" width="28.28515625" style="377" hidden="1" customWidth="1"/>
    <col min="21" max="21" width="9" style="377" hidden="1" customWidth="1"/>
    <col min="22" max="22" width="7.5703125" style="377" hidden="1" customWidth="1"/>
    <col min="23" max="23" width="32" style="377" hidden="1" customWidth="1"/>
    <col min="24" max="24" width="11.28515625" style="377" hidden="1" customWidth="1"/>
    <col min="25" max="25" width="5" style="377" hidden="1" customWidth="1"/>
    <col min="26" max="31" width="3.28515625" style="377" customWidth="1"/>
    <col min="32" max="32" width="3.28515625" style="377" bestFit="1" customWidth="1"/>
    <col min="33" max="34" width="3.28515625" style="377" customWidth="1"/>
    <col min="35" max="35" width="4.140625" style="377" customWidth="1"/>
    <col min="36" max="36" width="3" style="377" hidden="1" customWidth="1"/>
    <col min="37" max="37" width="6.28515625" style="377" hidden="1" customWidth="1"/>
    <col min="38" max="38" width="8" style="377" hidden="1" customWidth="1"/>
    <col min="39" max="39" width="5.42578125" style="377" hidden="1" customWidth="1"/>
    <col min="40" max="42" width="3.28515625" style="377" customWidth="1"/>
    <col min="43" max="43" width="0.140625" style="377" customWidth="1"/>
    <col min="44" max="45" width="9.140625" style="377"/>
    <col min="46" max="55" width="8" style="377" hidden="1" customWidth="1"/>
    <col min="56" max="56" width="7" style="377" hidden="1" customWidth="1"/>
    <col min="57" max="70" width="9.140625" style="377" hidden="1" customWidth="1"/>
    <col min="71" max="71" width="9.140625" style="377"/>
    <col min="72" max="16384" width="9.140625" style="1"/>
  </cols>
  <sheetData>
    <row r="1" spans="1:70" x14ac:dyDescent="0.2">
      <c r="A1" s="464"/>
      <c r="B1" s="465"/>
      <c r="C1" s="466" t="s">
        <v>129</v>
      </c>
      <c r="D1" s="467"/>
      <c r="E1" s="467"/>
      <c r="F1" s="467"/>
      <c r="H1" s="467"/>
      <c r="J1" s="467"/>
      <c r="K1" s="469"/>
      <c r="L1" s="464"/>
      <c r="M1" s="498"/>
      <c r="N1" s="498"/>
      <c r="O1" s="498"/>
      <c r="P1" s="499"/>
      <c r="Q1" s="499"/>
      <c r="R1" s="500"/>
      <c r="S1" s="498"/>
      <c r="T1" s="498"/>
      <c r="U1" s="498"/>
      <c r="V1" s="498"/>
      <c r="W1" s="498"/>
      <c r="X1" s="498"/>
      <c r="Y1" s="501"/>
      <c r="Z1" s="502"/>
      <c r="AA1" s="500"/>
      <c r="AB1" s="500"/>
      <c r="AC1" s="500"/>
      <c r="AD1" s="500"/>
      <c r="AF1" s="500" t="s">
        <v>130</v>
      </c>
      <c r="AG1" s="500"/>
      <c r="AI1" s="503" t="s">
        <v>131</v>
      </c>
      <c r="AJ1" s="504"/>
      <c r="AK1" s="504"/>
      <c r="AL1" s="384"/>
      <c r="AM1" s="384"/>
      <c r="AN1" s="505" t="s">
        <v>132</v>
      </c>
      <c r="AO1" s="505"/>
      <c r="AP1" s="506"/>
      <c r="AQ1" s="464"/>
      <c r="AT1" s="382" t="s">
        <v>133</v>
      </c>
      <c r="AU1" s="465"/>
      <c r="AV1" s="465"/>
      <c r="AW1" s="465"/>
      <c r="AX1" s="465"/>
      <c r="AY1" s="465"/>
      <c r="AZ1" s="465"/>
      <c r="BA1" s="465"/>
      <c r="BB1" s="465"/>
      <c r="BC1" s="465"/>
      <c r="BD1" s="465"/>
      <c r="BE1" s="384"/>
      <c r="BF1" s="384"/>
      <c r="BG1" s="384"/>
      <c r="BH1" s="384"/>
      <c r="BI1" s="382" t="s">
        <v>133</v>
      </c>
      <c r="BJ1" s="465"/>
      <c r="BK1" s="465"/>
      <c r="BL1" s="465"/>
      <c r="BM1" s="465"/>
      <c r="BN1" s="465"/>
      <c r="BO1" s="465"/>
      <c r="BP1" s="465"/>
      <c r="BQ1" s="465"/>
      <c r="BR1" s="465"/>
    </row>
    <row r="2" spans="1:70" x14ac:dyDescent="0.2">
      <c r="A2" s="464"/>
      <c r="B2" s="464"/>
      <c r="C2" s="468" t="s">
        <v>134</v>
      </c>
      <c r="D2" s="469"/>
      <c r="E2" s="469"/>
      <c r="F2" s="469"/>
      <c r="H2" s="469"/>
      <c r="J2" s="469"/>
      <c r="K2" s="469"/>
      <c r="L2" s="464"/>
      <c r="M2" s="500"/>
      <c r="N2" s="500"/>
      <c r="O2" s="500"/>
      <c r="P2" s="507"/>
      <c r="Q2" s="507"/>
      <c r="R2" s="500"/>
      <c r="S2" s="500"/>
      <c r="T2" s="500"/>
      <c r="U2" s="500"/>
      <c r="V2" s="500"/>
      <c r="W2" s="500"/>
      <c r="X2" s="500"/>
      <c r="Y2" s="502"/>
      <c r="Z2" s="500"/>
      <c r="AA2" s="500"/>
      <c r="AB2" s="500"/>
      <c r="AC2" s="500"/>
      <c r="AD2" s="500"/>
      <c r="AE2" s="500"/>
      <c r="AF2" s="500"/>
      <c r="AG2" s="508"/>
      <c r="AH2" s="508"/>
      <c r="AI2" s="508"/>
      <c r="AJ2" s="500"/>
      <c r="AK2" s="500"/>
      <c r="AL2" s="500"/>
      <c r="AN2" s="465" t="s">
        <v>135</v>
      </c>
      <c r="AO2" s="465"/>
      <c r="AP2" s="464"/>
      <c r="AQ2" s="464"/>
      <c r="AT2" s="509">
        <v>3</v>
      </c>
      <c r="AU2" s="510" t="s">
        <v>257</v>
      </c>
      <c r="AV2" s="511"/>
      <c r="AW2" s="511"/>
      <c r="AX2" s="511"/>
      <c r="AY2" s="511"/>
      <c r="AZ2" s="511"/>
      <c r="BA2" s="464"/>
      <c r="BB2" s="464"/>
      <c r="BC2" s="464"/>
      <c r="BD2" s="464"/>
    </row>
    <row r="3" spans="1:70" x14ac:dyDescent="0.2">
      <c r="A3" s="464"/>
      <c r="B3" s="464"/>
      <c r="C3" s="468"/>
      <c r="D3" s="469"/>
      <c r="E3" s="469"/>
      <c r="F3" s="469"/>
      <c r="H3" s="469"/>
      <c r="J3" s="469"/>
      <c r="K3" s="469"/>
      <c r="L3" s="464"/>
      <c r="M3" s="500"/>
      <c r="N3" s="500"/>
      <c r="O3" s="500"/>
      <c r="P3" s="507"/>
      <c r="Q3" s="507"/>
      <c r="R3" s="507"/>
      <c r="S3" s="500">
        <f>COUNTIF((Q$7:Q$120),"&lt;&gt;Viru SK")</f>
        <v>59</v>
      </c>
      <c r="T3" s="500"/>
      <c r="U3" s="500"/>
      <c r="V3" s="500"/>
      <c r="W3" s="500"/>
      <c r="X3" s="500"/>
      <c r="Y3" s="502"/>
      <c r="Z3" s="500"/>
      <c r="AA3" s="500"/>
      <c r="AB3" s="500"/>
      <c r="AC3" s="500"/>
      <c r="AD3" s="500"/>
      <c r="AE3" s="500"/>
      <c r="AF3" s="500"/>
      <c r="AG3" s="500"/>
      <c r="AH3" s="500"/>
      <c r="AI3" s="500"/>
      <c r="AJ3" s="500"/>
      <c r="AK3" s="500"/>
      <c r="AL3" s="500"/>
      <c r="AN3" s="512" t="s">
        <v>136</v>
      </c>
      <c r="AO3" s="512"/>
      <c r="AP3" s="464"/>
      <c r="AQ3" s="464"/>
      <c r="AT3" s="509">
        <v>1</v>
      </c>
      <c r="AU3" s="510" t="s">
        <v>258</v>
      </c>
      <c r="AV3" s="511"/>
      <c r="AW3" s="511"/>
      <c r="AX3" s="511"/>
      <c r="AY3" s="511"/>
      <c r="AZ3" s="511"/>
      <c r="BA3" s="511"/>
      <c r="BB3" s="511"/>
      <c r="BC3" s="464"/>
      <c r="BD3" s="464"/>
    </row>
    <row r="4" spans="1:70" ht="29.25" customHeight="1" x14ac:dyDescent="0.2">
      <c r="A4" s="470"/>
      <c r="B4" s="471"/>
      <c r="C4" s="470"/>
      <c r="D4" s="472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513"/>
      <c r="S4" s="514" t="s">
        <v>137</v>
      </c>
      <c r="T4" s="514"/>
      <c r="U4" s="515" t="s">
        <v>138</v>
      </c>
      <c r="V4" s="514" t="s">
        <v>139</v>
      </c>
      <c r="W4" s="514" t="s">
        <v>140</v>
      </c>
      <c r="X4" s="514"/>
      <c r="Y4" s="516" t="s">
        <v>259</v>
      </c>
      <c r="Z4" s="517" t="str">
        <f>MID(Kalend!$A5,4,5)</f>
        <v>10.05</v>
      </c>
      <c r="AA4" s="517" t="str">
        <f>MID(Kalend!$A6,4,5)</f>
        <v>24.05</v>
      </c>
      <c r="AB4" s="517" t="str">
        <f>MID(Kalend!$A11,4,5)</f>
        <v>07.06</v>
      </c>
      <c r="AC4" s="517" t="str">
        <f>MID(Kalend!$A18,4,5)</f>
        <v>21.06</v>
      </c>
      <c r="AD4" s="517" t="str">
        <f>MID(Kalend!$A22,4,5)</f>
        <v>05.07</v>
      </c>
      <c r="AE4" s="517" t="str">
        <f>MID(Kalend!$A24,4,5)</f>
        <v>19.07</v>
      </c>
      <c r="AF4" s="517" t="str">
        <f>MID(Kalend!$A27,4,5)</f>
        <v>02.08</v>
      </c>
      <c r="AG4" s="517" t="str">
        <f>MID(Kalend!$A28,4,5)</f>
        <v>16.08</v>
      </c>
      <c r="AH4" s="517" t="str">
        <f>MID(Kalend!$A30,4,5)</f>
        <v>23.08</v>
      </c>
      <c r="AI4" s="518" t="str">
        <f>MID(Kalend!$A34,4,5)</f>
        <v>03.09</v>
      </c>
      <c r="AJ4" s="519"/>
      <c r="AK4" s="520"/>
      <c r="AL4" s="521"/>
      <c r="AM4" s="522"/>
      <c r="AN4" s="619" t="s">
        <v>141</v>
      </c>
      <c r="AO4" s="620" t="s">
        <v>260</v>
      </c>
      <c r="AP4" s="622" t="s">
        <v>142</v>
      </c>
      <c r="AQ4" s="464"/>
      <c r="AT4" s="464"/>
      <c r="AW4" s="464"/>
      <c r="AX4" s="464"/>
      <c r="AY4" s="464"/>
      <c r="AZ4" s="464"/>
      <c r="BA4" s="464"/>
      <c r="BB4" s="464"/>
      <c r="BC4" s="464"/>
      <c r="BD4" s="464"/>
    </row>
    <row r="5" spans="1:70" x14ac:dyDescent="0.2">
      <c r="A5" s="473" t="s">
        <v>84</v>
      </c>
      <c r="B5" s="474"/>
      <c r="C5" s="474"/>
      <c r="D5" s="474"/>
      <c r="E5" s="475" t="s">
        <v>84</v>
      </c>
      <c r="F5" s="474"/>
      <c r="G5" s="475" t="s">
        <v>84</v>
      </c>
      <c r="H5" s="474"/>
      <c r="I5" s="475"/>
      <c r="J5" s="474"/>
      <c r="K5" s="523" t="s">
        <v>143</v>
      </c>
      <c r="L5" s="524"/>
      <c r="M5" s="525" t="s">
        <v>84</v>
      </c>
      <c r="N5" s="525" t="s">
        <v>84</v>
      </c>
      <c r="O5" s="525" t="s">
        <v>84</v>
      </c>
      <c r="P5" s="525" t="s">
        <v>84</v>
      </c>
      <c r="Q5" s="525" t="s">
        <v>84</v>
      </c>
      <c r="R5" s="526" t="s">
        <v>131</v>
      </c>
      <c r="S5" s="527" t="s">
        <v>144</v>
      </c>
      <c r="T5" s="528"/>
      <c r="U5" s="529" t="s">
        <v>145</v>
      </c>
      <c r="V5" s="530"/>
      <c r="W5" s="530"/>
      <c r="X5" s="530"/>
      <c r="Y5" s="531" t="s">
        <v>146</v>
      </c>
      <c r="Z5" s="532" t="s">
        <v>147</v>
      </c>
      <c r="AA5" s="532" t="s">
        <v>147</v>
      </c>
      <c r="AB5" s="532" t="s">
        <v>147</v>
      </c>
      <c r="AC5" s="532" t="s">
        <v>147</v>
      </c>
      <c r="AD5" s="532" t="s">
        <v>147</v>
      </c>
      <c r="AE5" s="532" t="s">
        <v>147</v>
      </c>
      <c r="AF5" s="532" t="s">
        <v>147</v>
      </c>
      <c r="AG5" s="532" t="s">
        <v>147</v>
      </c>
      <c r="AH5" s="532" t="s">
        <v>147</v>
      </c>
      <c r="AI5" s="533" t="s">
        <v>147</v>
      </c>
      <c r="AJ5" s="534"/>
      <c r="AK5" s="535" t="s">
        <v>261</v>
      </c>
      <c r="AL5" s="536" t="s">
        <v>262</v>
      </c>
      <c r="AM5" s="537" t="s">
        <v>263</v>
      </c>
      <c r="AN5" s="619"/>
      <c r="AO5" s="621"/>
      <c r="AP5" s="622"/>
      <c r="AQ5" s="464"/>
      <c r="AT5" s="538" t="str">
        <f>HYPERLINK("#Juhend!B1","Juhend")</f>
        <v>Juhend</v>
      </c>
      <c r="AU5" s="464"/>
      <c r="AV5" s="464"/>
      <c r="AW5" s="464"/>
      <c r="AX5" s="464"/>
      <c r="AY5" s="464"/>
      <c r="AZ5" s="464"/>
      <c r="BA5" s="464"/>
      <c r="BB5" s="464"/>
      <c r="BC5" s="464"/>
      <c r="BD5" s="464"/>
    </row>
    <row r="6" spans="1:70" x14ac:dyDescent="0.2">
      <c r="A6" s="476" t="s">
        <v>148</v>
      </c>
      <c r="B6" s="477" t="s">
        <v>148</v>
      </c>
      <c r="C6" s="478" t="s">
        <v>264</v>
      </c>
      <c r="D6" s="479" t="s">
        <v>264</v>
      </c>
      <c r="E6" s="480" t="s">
        <v>149</v>
      </c>
      <c r="F6" s="481" t="s">
        <v>150</v>
      </c>
      <c r="G6" s="482" t="s">
        <v>151</v>
      </c>
      <c r="H6" s="481" t="s">
        <v>152</v>
      </c>
      <c r="I6" s="483" t="s">
        <v>153</v>
      </c>
      <c r="J6" s="481" t="s">
        <v>154</v>
      </c>
      <c r="K6" s="539" t="s">
        <v>155</v>
      </c>
      <c r="L6" s="540" t="s">
        <v>156</v>
      </c>
      <c r="M6" s="541" t="s">
        <v>151</v>
      </c>
      <c r="N6" s="542" t="s">
        <v>149</v>
      </c>
      <c r="O6" s="543" t="s">
        <v>153</v>
      </c>
      <c r="P6" s="544" t="s">
        <v>265</v>
      </c>
      <c r="Q6" s="545" t="s">
        <v>158</v>
      </c>
      <c r="R6" s="539" t="s">
        <v>261</v>
      </c>
      <c r="S6" s="546" t="s">
        <v>159</v>
      </c>
      <c r="T6" s="546" t="s">
        <v>160</v>
      </c>
      <c r="U6" s="546" t="s">
        <v>161</v>
      </c>
      <c r="V6" s="547" t="s">
        <v>162</v>
      </c>
      <c r="W6" s="546" t="s">
        <v>163</v>
      </c>
      <c r="X6" s="546" t="s">
        <v>164</v>
      </c>
      <c r="Y6" s="546" t="s">
        <v>165</v>
      </c>
      <c r="Z6" s="548" t="str">
        <f>HYPERLINK("#V1!A5","V1")</f>
        <v>V1</v>
      </c>
      <c r="AA6" s="548" t="str">
        <f>HYPERLINK("#V2!A5","V2")</f>
        <v>V2</v>
      </c>
      <c r="AB6" s="548" t="str">
        <f>HYPERLINK("#V3!A5","V3")</f>
        <v>V3</v>
      </c>
      <c r="AC6" s="548" t="str">
        <f>HYPERLINK("#V4!A5","V4")</f>
        <v>V4</v>
      </c>
      <c r="AD6" s="548" t="str">
        <f>HYPERLINK("#V5!A5","V5")</f>
        <v>V5</v>
      </c>
      <c r="AE6" s="548" t="str">
        <f>HYPERLINK("#V6!A5","V6")</f>
        <v>V6</v>
      </c>
      <c r="AF6" s="548" t="str">
        <f>HYPERLINK("#V7!A5","V7")</f>
        <v>V7</v>
      </c>
      <c r="AG6" s="548" t="str">
        <f>HYPERLINK("#V8!A5","V8")</f>
        <v>V8</v>
      </c>
      <c r="AH6" s="548" t="str">
        <f>HYPERLINK("#V9!A5","V9")</f>
        <v>V9</v>
      </c>
      <c r="AI6" s="549" t="str">
        <f>HYPERLINK("#V10!A5","V10")</f>
        <v>V10</v>
      </c>
      <c r="AJ6" s="550"/>
      <c r="AK6" s="551" t="s">
        <v>266</v>
      </c>
      <c r="AL6" s="552" t="s">
        <v>267</v>
      </c>
      <c r="AM6" s="553" t="str">
        <f>HYPERLINK("#'V-Fin'!J1","V-Fin")</f>
        <v>V-Fin</v>
      </c>
      <c r="AN6" s="619"/>
      <c r="AO6" s="621"/>
      <c r="AP6" s="622"/>
      <c r="AQ6" s="464"/>
      <c r="AT6" s="464"/>
      <c r="AU6" s="464"/>
      <c r="AV6" s="464"/>
      <c r="AW6" s="464"/>
      <c r="AX6" s="464"/>
      <c r="AY6" s="464"/>
      <c r="AZ6" s="464"/>
      <c r="BA6" s="464"/>
      <c r="BB6" s="464"/>
      <c r="BC6" s="464"/>
      <c r="BD6" s="464"/>
      <c r="BI6" s="377">
        <f t="shared" ref="BI6:BR6" si="0">LARGE(Z7:Z120,1)</f>
        <v>26</v>
      </c>
      <c r="BJ6" s="377">
        <f t="shared" si="0"/>
        <v>30</v>
      </c>
      <c r="BK6" s="377">
        <f t="shared" si="0"/>
        <v>30</v>
      </c>
      <c r="BL6" s="377">
        <f t="shared" si="0"/>
        <v>28</v>
      </c>
      <c r="BM6" s="377">
        <f t="shared" si="0"/>
        <v>36</v>
      </c>
      <c r="BN6" s="377">
        <f t="shared" si="0"/>
        <v>32</v>
      </c>
      <c r="BO6" s="377">
        <f t="shared" si="0"/>
        <v>20</v>
      </c>
      <c r="BP6" s="377">
        <f t="shared" si="0"/>
        <v>18</v>
      </c>
      <c r="BQ6" s="377">
        <f t="shared" si="0"/>
        <v>28</v>
      </c>
      <c r="BR6" s="377">
        <f t="shared" si="0"/>
        <v>24</v>
      </c>
    </row>
    <row r="7" spans="1:70" x14ac:dyDescent="0.2">
      <c r="A7" s="484">
        <f t="shared" ref="A7:A38" si="1">IF(R7&gt;0,IF(Q7="Viru SK",RANK(B7,B$7:B$120,1)-COUNTIF((Q$7:Q$120),"&lt;&gt;Viru SK"),""),"")</f>
        <v>1</v>
      </c>
      <c r="B7" s="485">
        <f t="shared" ref="B7:B38" si="2">IF((Q7="Viru SK"),U7,U7-1000)</f>
        <v>1</v>
      </c>
      <c r="C7" s="486">
        <f t="shared" ref="C7:C38" si="3">IF(R7&gt;0,IF(P7="t",RANK(D7,D$7:D$120,1)-COUNTBLANK(P$7:P$120),""),"")</f>
        <v>1</v>
      </c>
      <c r="D7" s="487">
        <f t="shared" ref="D7:D38" si="4">IF((P7="t"),U7,U7-1000)</f>
        <v>1</v>
      </c>
      <c r="E7" s="488">
        <f t="shared" ref="E7:E38" si="5">IF(R7&gt;0,IF(N7="m",RANK(F7,F$7:F$120,1)-COUNTBLANK(N$7:N$120),""),"")</f>
        <v>2</v>
      </c>
      <c r="F7" s="489">
        <f t="shared" ref="F7:F38" si="6">IF((N7="m"),U7,U7-1000)</f>
        <v>1</v>
      </c>
      <c r="G7" s="490" t="str">
        <f t="shared" ref="G7:G38" si="7">IF(R7&gt;0,IF(M7="n",RANK(H7,H$7:H$120,1)-COUNTBLANK(M$7:M$120),""),"")</f>
        <v/>
      </c>
      <c r="H7" s="489">
        <f t="shared" ref="H7:H38" si="8">IF((M7="n"),U7,U7-1000)</f>
        <v>-999</v>
      </c>
      <c r="I7" s="491" t="str">
        <f t="shared" ref="I7:I38" si="9">IF(R7&gt;0,IF(O7="j",RANK(J7,J$7:J$120,1)-COUNTBLANK(O$7:O$120),""),"")</f>
        <v/>
      </c>
      <c r="J7" s="554">
        <f t="shared" ref="J7:J38" si="10">IF((O7="j"),U7,U7-1000)</f>
        <v>-999</v>
      </c>
      <c r="K7" s="526">
        <f t="shared" ref="K7:K38" si="11">IF(R7&gt;0,RANK(U7,U$7:U$120,1),"")</f>
        <v>1</v>
      </c>
      <c r="L7" s="555" t="s">
        <v>166</v>
      </c>
      <c r="M7" s="556"/>
      <c r="N7" s="557" t="str">
        <f>IF(M7="","m","")</f>
        <v>m</v>
      </c>
      <c r="O7" s="558"/>
      <c r="P7" s="559" t="s">
        <v>269</v>
      </c>
      <c r="Q7" s="560" t="s">
        <v>148</v>
      </c>
      <c r="R7" s="539">
        <f>(IF(COUNT(Z7,AA7,AB7,AC7,AD7,AE7,AF7,AG7,AH7,AI7)&lt;10,SUM(Z7,AA7,AB7,AC7,AD7,AE7,AF7,AG7,AH7,AI7),SUM(LARGE((Z7,AA7,AB7,AC7,AD7,AE7,AF7,AG7,AH7,AI7),{1;2;3;4;5;6;7;8;9}))))</f>
        <v>234</v>
      </c>
      <c r="S7" s="561" t="str">
        <f>INDEX([1]ETAPP!B$1:B$32,MATCH(COUNTIF(BI7:BR7,1),[1]ETAPP!A$1:A$32,0))&amp;INDEX([1]ETAPP!B$1:B$32,MATCH(COUNTIF(BI7:BR7,2),[1]ETAPP!A$1:A$32,0))&amp;INDEX([1]ETAPP!B$1:B$32,MATCH(COUNTIF(BI7:BR7,3),[1]ETAPP!A$1:A$32,0))&amp;INDEX([1]ETAPP!B$1:B$32,MATCH(COUNTIF(BI7:BR7,4),[1]ETAPP!A$1:A$32,0))&amp;INDEX([1]ETAPP!B$1:B$32,MATCH(COUNTIF(BI7:BR7,5),[1]ETAPP!A$1:A$32,0))&amp;INDEX([1]ETAPP!B$1:B$32,MATCH(COUNTIF(BI7:BR7,6),[1]ETAPP!A$1:A$32,0))&amp;INDEX([1]ETAPP!B$1:B$32,MATCH(COUNTIF(BI7:BR7,7),[1]ETAPP!A$1:A$32,0))&amp;INDEX([1]ETAPP!B$1:B$32,MATCH(COUNTIF(BI7:BR7,8),[1]ETAPP!A$1:A$32,0))&amp;INDEX([1]ETAPP!B$1:B$32,MATCH(COUNTIF(BI7:BR7,9),[1]ETAPP!A$1:A$32,0))&amp;INDEX([1]ETAPP!B$1:B$32,MATCH(COUNTIF(BI7:BR7,10),[1]ETAPP!A$1:A$32,0))&amp;INDEX([1]ETAPP!B$1:B$32,MATCH(COUNTIF(BI7:BR7,11),[1]ETAPP!A$1:A$32,0))&amp;INDEX([1]ETAPP!B$1:B$32,MATCH(COUNTIF(BI7:BR7,12),[1]ETAPP!A$1:A$32,0))&amp;INDEX([1]ETAPP!B$1:B$32,MATCH(COUNTIF(BI7:BR7,13),[1]ETAPP!A$1:A$32,0))&amp;INDEX([1]ETAPP!B$1:B$32,MATCH(COUNTIF(BI7:BR7,14),[1]ETAPP!A$1:A$32,0))&amp;INDEX([1]ETAPP!B$1:B$32,MATCH(COUNTIF(BI7:BR7,15),[1]ETAPP!A$1:A$32,0))&amp;INDEX([1]ETAPP!B$1:B$32,MATCH(COUNTIF(BI7:BR7,16),[1]ETAPP!A$1:A$32,0))&amp;INDEX([1]ETAPP!B$1:B$32,MATCH(COUNTIF(BI7:BR7,17),[1]ETAPP!A$1:A$32,0))&amp;INDEX([1]ETAPP!B$1:B$32,MATCH(COUNTIF(BI7:BR7,18),[1]ETAPP!A$1:A$32,0))&amp;INDEX([1]ETAPP!B$1:B$32,MATCH(COUNTIF(BI7:BR7,19),[1]ETAPP!A$1:A$32,0))&amp;INDEX([1]ETAPP!B$1:B$32,MATCH(COUNTIF(BI7:BR7,20),[1]ETAPP!A$1:A$32,0))&amp;INDEX([1]ETAPP!B$1:B$32,MATCH(COUNTIF(BI7:BR7,21),[1]ETAPP!A$1:A$32,0))</f>
        <v>DACA00000000000000000</v>
      </c>
      <c r="T7" s="561" t="str">
        <f t="shared" ref="T7:T38" si="12">TEXT(R7,"000,0")&amp;"-"&amp;S7</f>
        <v>234,0-DACA00000000000000000</v>
      </c>
      <c r="U7" s="561">
        <f t="shared" ref="U7:U38" si="13">COUNTIF(T$7:T$120,"&gt;="&amp;T7)</f>
        <v>1</v>
      </c>
      <c r="V7" s="561">
        <f t="shared" ref="V7:V38" si="14">COUNTIF(L$7:L$120,"&gt;="&amp;L7)</f>
        <v>65</v>
      </c>
      <c r="W7" s="561" t="str">
        <f t="shared" ref="W7:W38" si="15">TEXT(R7,"000,0")&amp;"-"&amp;S7&amp;"-"&amp;TEXT(V7,"000")</f>
        <v>234,0-DACA00000000000000000-065</v>
      </c>
      <c r="X7" s="561">
        <f t="shared" ref="X7:X38" si="16">COUNTIF(W$7:W$120,"&gt;="&amp;W7)</f>
        <v>1</v>
      </c>
      <c r="Y7" s="562">
        <f t="shared" ref="Y7:Y38" si="17">RANK(X7,X$7:X$120,0)</f>
        <v>114</v>
      </c>
      <c r="Z7" s="563">
        <f>IFERROR(INDEX('V1'!C$300:C$400,MATCH("*"&amp;L7&amp;"*",'V1'!B$300:B$400,0)),"  ")</f>
        <v>26</v>
      </c>
      <c r="AA7" s="563">
        <f>IFERROR(INDEX('V2'!C$300:C$400,MATCH("*"&amp;L7&amp;"*",'V2'!B$300:B$400,0)),"  ")</f>
        <v>26</v>
      </c>
      <c r="AB7" s="563">
        <f>IFERROR(INDEX('V3'!C$300:C$400,MATCH("*"&amp;L7&amp;"*",'V3'!B$300:B$400,0)),"  ")</f>
        <v>30</v>
      </c>
      <c r="AC7" s="563">
        <f>IFERROR(INDEX('V4'!C$300:C$400,MATCH("*"&amp;L7&amp;"*",'V4'!B$300:B$400,0)),"  ")</f>
        <v>24</v>
      </c>
      <c r="AD7" s="563">
        <f>IFERROR(INDEX('V5'!C$300:C$400,MATCH("*"&amp;L7&amp;"*",'V5'!B$300:B$400,0)),"  ")</f>
        <v>34</v>
      </c>
      <c r="AE7" s="563">
        <f>IFERROR(INDEX('V6'!C$300:C$400,MATCH("*"&amp;L7&amp;"*",'V6'!B$300:B$400,0)),"  ")</f>
        <v>32</v>
      </c>
      <c r="AF7" s="563">
        <f>IFERROR(INDEX('V7'!C$300:C$400,MATCH("*"&amp;L7&amp;"*",'V7'!B$300:B$400,0)),"  ")</f>
        <v>16</v>
      </c>
      <c r="AG7" s="563" t="str">
        <f>IFERROR(INDEX('V8'!C$300:C$400,MATCH("*"&amp;L7&amp;"*",'V8'!B$300:B$400,0)),"  ")</f>
        <v xml:space="preserve">  </v>
      </c>
      <c r="AH7" s="563">
        <f>IFERROR(INDEX('V9'!C$300:C$400,MATCH("*"&amp;L7&amp;"*",'V9'!B$300:B$400,0)),"  ")</f>
        <v>28</v>
      </c>
      <c r="AI7" s="563">
        <f>IFERROR(INDEX('V10'!C$300:C$400,MATCH("*"&amp;L7&amp;"*",'V10'!B$300:B$400,0)),"  ")</f>
        <v>18</v>
      </c>
      <c r="AJ7" s="564">
        <f t="shared" ref="AJ7:AJ38" si="18">IF(AN7&gt;(AT$2-1),K7,"")</f>
        <v>1</v>
      </c>
      <c r="AK7" s="565">
        <f t="shared" ref="AK7:AK38" si="19">SUM(Z7:AI7)</f>
        <v>234</v>
      </c>
      <c r="AL7" s="566" t="str">
        <f t="shared" ref="AL7:AL38" si="20">IFERROR("edasi "&amp;RANK(AJ7,AJ$7:AJ$120,1),K7)</f>
        <v>edasi 1</v>
      </c>
      <c r="AM7" s="567" t="str">
        <f>IFERROR(INDEX(#REF!,MATCH("*"&amp;L7&amp;"*",#REF!,0)),"  ")</f>
        <v xml:space="preserve">  </v>
      </c>
      <c r="AN7" s="568">
        <f t="shared" ref="AN7:AN38" si="21">COUNTIF(Z7:AI7,"&gt;=0")</f>
        <v>9</v>
      </c>
      <c r="AO7" s="469">
        <f t="shared" ref="AO7:AO38" si="22">IFERROR(IF(Z7+1&gt;LARGE(Z$7:Z$120,1)-2*LEN(Z$5),1),0)+IFERROR(IF(AA7+1&gt;LARGE(AA$7:AA$120,1)-2*LEN(AA$5),1),0)+IFERROR(IF(AB7+1&gt;LARGE(AB$7:AB$120,1)-2*LEN(AB$5),1),0)+IFERROR(IF(AC7+1&gt;LARGE(AC$7:AC$120,1)-2*LEN(AC$5),1),0)+IFERROR(IF(AD7+1&gt;LARGE(AD$7:AD$120,1)-2*LEN(AD$5),1),0)+IFERROR(IF(AE7+1&gt;LARGE(AE$7:AE$120,1)-2*LEN(AE$5),1),0)+IFERROR(IF(AF7+1&gt;LARGE(AF$7:AF$120,1)-2*LEN(AF$5),1),0)+IFERROR(IF(AG7+1&gt;LARGE(AG$7:AG$120,1)-2*LEN(AG$5),1),0)+IFERROR(IF(AH7+1&gt;LARGE(AH$7:AH$120,1)-2*LEN(AH$5),1),0)+IFERROR(IF(AI7+1&gt;LARGE(AI$7:AI$120,1)-2*LEN(AI$5),1),0)</f>
        <v>8</v>
      </c>
      <c r="AP7" s="469">
        <f t="shared" ref="AP7:AP38" si="23">IF(Z7=0,0,IF(Z7=IFERROR(LARGE(Z$7:Z$120,1),0),1,0))+IF(AA7=0,0,IF(AA7=IFERROR(LARGE(AA$7:AA$120,1),0),1,0))+IF(AB7=0,0,IF(AB7=IFERROR(LARGE(AB$7:AB$120,1),0),1,0))+IF(AC7=0,0,IF(AC7=IFERROR(LARGE(AC$7:AC$120,1),0),1,0))+IF(AD7=0,0,IF(AD7=IFERROR(LARGE(AD$7:AD$120,1),0),1,0))+IF(AE7=0,0,IF(AE7=IFERROR(LARGE(AE$7:AE$120,1),0),1,0))+IF(AF7=0,0,IF(AF7=IFERROR(LARGE(AF$7:AF$120,1),0),1,0))+IF(AG7=0,0,IF(AG7=IFERROR(LARGE(AG$7:AG$120,1),0),1,0))+IF(AH7=0,0,IF(AH7=IFERROR(LARGE(AH$7:AH$120,1),0),1,0))+IF(AI7=0,0,IF(AI7=IFERROR(LARGE(AI$7:AI$120,1),0),1,0))</f>
        <v>4</v>
      </c>
      <c r="AQ7" s="569"/>
      <c r="AR7" s="569"/>
      <c r="AS7" s="569"/>
      <c r="AT7" s="570">
        <f t="shared" ref="AT7:AT38" si="24">SMALL(AU7:BD7,AT$3)</f>
        <v>8.0000000000000004E-4</v>
      </c>
      <c r="AU7" s="571">
        <f t="shared" ref="AU7:AU38" si="25">IF(Z7="  ",0+MID(Z$6,FIND("V",Z$6)+1,256)/10000,Z7+MID(Z$6,FIND("V",Z$6)+1,256)/10000)</f>
        <v>26.0001</v>
      </c>
      <c r="AV7" s="571">
        <f t="shared" ref="AV7:AV38" si="26">IF(AA7="  ",0+MID(AA$6,FIND("V",AA$6)+1,256)/10000,AA7+MID(AA$6,FIND("V",AA$6)+1,256)/10000)</f>
        <v>26.0002</v>
      </c>
      <c r="AW7" s="571">
        <f t="shared" ref="AW7:AW38" si="27">IF(AB7="  ",0+MID(AB$6,FIND("V",AB$6)+1,256)/10000,AB7+MID(AB$6,FIND("V",AB$6)+1,256)/10000)</f>
        <v>30.000299999999999</v>
      </c>
      <c r="AX7" s="571">
        <f t="shared" ref="AX7:AX38" si="28">IF(AC7="  ",0+MID(AC$6,FIND("V",AC$6)+1,256)/10000,AC7+MID(AC$6,FIND("V",AC$6)+1,256)/10000)</f>
        <v>24.000399999999999</v>
      </c>
      <c r="AY7" s="571">
        <f t="shared" ref="AY7:AY38" si="29">IF(AD7="  ",0+MID(AD$6,FIND("V",AD$6)+1,256)/10000,AD7+MID(AD$6,FIND("V",AD$6)+1,256)/10000)</f>
        <v>34.000500000000002</v>
      </c>
      <c r="AZ7" s="571">
        <f t="shared" ref="AZ7:AZ38" si="30">IF(AE7="  ",0+MID(AE$6,FIND("V",AE$6)+1,256)/10000,AE7+MID(AE$6,FIND("V",AE$6)+1,256)/10000)</f>
        <v>32.000599999999999</v>
      </c>
      <c r="BA7" s="571">
        <f t="shared" ref="BA7:BA38" si="31">IF(AF7="  ",0+MID(AF$6,FIND("V",AF$6)+1,256)/10000,AF7+MID(AF$6,FIND("V",AF$6)+1,256)/10000)</f>
        <v>16.000699999999998</v>
      </c>
      <c r="BB7" s="571">
        <f t="shared" ref="BB7:BB38" si="32">IF(AG7="  ",0+MID(AG$6,FIND("V",AG$6)+1,256)/10000,AG7+MID(AG$6,FIND("V",AG$6)+1,256)/10000)</f>
        <v>8.0000000000000004E-4</v>
      </c>
      <c r="BC7" s="571">
        <f t="shared" ref="BC7:BC38" si="33">IF(AH7="  ",0+MID(AH$6,FIND("V",AH$6)+1,256)/10000,AH7+MID(AH$6,FIND("V",AH$6)+1,256)/10000)</f>
        <v>28.000900000000001</v>
      </c>
      <c r="BD7" s="571">
        <f t="shared" ref="BD7:BD38" si="34">IF(AI7="  ",0+MID(AI$6,FIND("V",AI$6)+1,256)/10000,AI7+MID(AI$6,FIND("V",AI$6)+1,256)/10000)</f>
        <v>18.001000000000001</v>
      </c>
      <c r="BE7" s="569"/>
      <c r="BF7" s="569"/>
      <c r="BG7" s="569"/>
      <c r="BH7" s="569"/>
      <c r="BI7" s="377">
        <f t="shared" ref="BI7:BI38" si="35">(LARGE(Z$7:Z$120,1)-Z7)/2+1</f>
        <v>1</v>
      </c>
      <c r="BJ7" s="377">
        <f t="shared" ref="BJ7:BJ38" si="36">(LARGE(AA$7:AA$120,1)-AA7)/2+1</f>
        <v>3</v>
      </c>
      <c r="BK7" s="377">
        <f t="shared" ref="BK7:BK38" si="37">(LARGE(AB$7:AB$120,1)-AB7)/2+1</f>
        <v>1</v>
      </c>
      <c r="BL7" s="377">
        <f t="shared" ref="BL7:BL38" si="38">(LARGE(AC$7:AC$120,1)-AC7)/2+1</f>
        <v>3</v>
      </c>
      <c r="BM7" s="377">
        <f t="shared" ref="BM7:BM38" si="39">(LARGE(AD$7:AD$120,1)-AD7)/2+1</f>
        <v>2</v>
      </c>
      <c r="BN7" s="377">
        <f t="shared" ref="BN7:BN38" si="40">(LARGE(AE$7:AE$120,1)-AE7)/2+1</f>
        <v>1</v>
      </c>
      <c r="BO7" s="377">
        <f t="shared" ref="BO7:BO38" si="41">(LARGE(AF$7:AF$120,1)-AF7)/2+1</f>
        <v>3</v>
      </c>
      <c r="BP7" s="377" t="e">
        <f t="shared" ref="BP7:BP38" si="42">(LARGE(AG$7:AG$120,1)-AG7)/2+1</f>
        <v>#VALUE!</v>
      </c>
      <c r="BQ7" s="377">
        <f t="shared" ref="BQ7:BQ38" si="43">(LARGE(AH$7:AH$120,1)-AH7)/2+1</f>
        <v>1</v>
      </c>
      <c r="BR7" s="377">
        <f t="shared" ref="BR7:BR38" si="44">(LARGE(AI$7:AI$120,1)-AI7)/2+1</f>
        <v>4</v>
      </c>
    </row>
    <row r="8" spans="1:70" x14ac:dyDescent="0.2">
      <c r="A8" s="484">
        <f t="shared" si="1"/>
        <v>2</v>
      </c>
      <c r="B8" s="485">
        <f t="shared" si="2"/>
        <v>2</v>
      </c>
      <c r="C8" s="486" t="str">
        <f t="shared" si="3"/>
        <v/>
      </c>
      <c r="D8" s="487">
        <f t="shared" si="4"/>
        <v>-998</v>
      </c>
      <c r="E8" s="488">
        <f t="shared" si="5"/>
        <v>3</v>
      </c>
      <c r="F8" s="489">
        <f t="shared" si="6"/>
        <v>2</v>
      </c>
      <c r="G8" s="490" t="str">
        <f t="shared" si="7"/>
        <v/>
      </c>
      <c r="H8" s="489">
        <f t="shared" si="8"/>
        <v>-998</v>
      </c>
      <c r="I8" s="491" t="str">
        <f t="shared" si="9"/>
        <v/>
      </c>
      <c r="J8" s="554">
        <f t="shared" si="10"/>
        <v>-998</v>
      </c>
      <c r="K8" s="526">
        <f t="shared" si="11"/>
        <v>2</v>
      </c>
      <c r="L8" s="555" t="s">
        <v>167</v>
      </c>
      <c r="M8" s="556"/>
      <c r="N8" s="557" t="s">
        <v>168</v>
      </c>
      <c r="O8" s="558"/>
      <c r="P8" s="559"/>
      <c r="Q8" s="560" t="s">
        <v>148</v>
      </c>
      <c r="R8" s="539">
        <f>(IF(COUNT(Z8,AA8,AB8,AC8,AD8,AE8,AF8,AG8,AH8,AI8)&lt;10,SUM(Z8,AA8,AB8,AC8,AD8,AE8,AF8,AG8,AH8,AI8),SUM(LARGE((Z8,AA8,AB8,AC8,AD8,AE8,AF8,AG8,AH8,AI8),{1;2;3;4;5;6;7;8;9}))))</f>
        <v>166</v>
      </c>
      <c r="S8" s="561" t="str">
        <f>INDEX([1]ETAPP!B$1:B$32,MATCH(COUNTIF(BI8:BR8,1),[1]ETAPP!A$1:A$32,0))&amp;INDEX([1]ETAPP!B$1:B$32,MATCH(COUNTIF(BI8:BR8,2),[1]ETAPP!A$1:A$32,0))&amp;INDEX([1]ETAPP!B$1:B$32,MATCH(COUNTIF(BI8:BR8,3),[1]ETAPP!A$1:A$32,0))&amp;INDEX([1]ETAPP!B$1:B$32,MATCH(COUNTIF(BI8:BR8,4),[1]ETAPP!A$1:A$32,0))&amp;INDEX([1]ETAPP!B$1:B$32,MATCH(COUNTIF(BI8:BR8,5),[1]ETAPP!A$1:A$32,0))&amp;INDEX([1]ETAPP!B$1:B$32,MATCH(COUNTIF(BI8:BR8,6),[1]ETAPP!A$1:A$32,0))&amp;INDEX([1]ETAPP!B$1:B$32,MATCH(COUNTIF(BI8:BR8,7),[1]ETAPP!A$1:A$32,0))&amp;INDEX([1]ETAPP!B$1:B$32,MATCH(COUNTIF(BI8:BR8,8),[1]ETAPP!A$1:A$32,0))&amp;INDEX([1]ETAPP!B$1:B$32,MATCH(COUNTIF(BI8:BR8,9),[1]ETAPP!A$1:A$32,0))&amp;INDEX([1]ETAPP!B$1:B$32,MATCH(COUNTIF(BI8:BR8,10),[1]ETAPP!A$1:A$32,0))&amp;INDEX([1]ETAPP!B$1:B$32,MATCH(COUNTIF(BI8:BR8,11),[1]ETAPP!A$1:A$32,0))&amp;INDEX([1]ETAPP!B$1:B$32,MATCH(COUNTIF(BI8:BR8,12),[1]ETAPP!A$1:A$32,0))&amp;INDEX([1]ETAPP!B$1:B$32,MATCH(COUNTIF(BI8:BR8,13),[1]ETAPP!A$1:A$32,0))&amp;INDEX([1]ETAPP!B$1:B$32,MATCH(COUNTIF(BI8:BR8,14),[1]ETAPP!A$1:A$32,0))&amp;INDEX([1]ETAPP!B$1:B$32,MATCH(COUNTIF(BI8:BR8,15),[1]ETAPP!A$1:A$32,0))&amp;INDEX([1]ETAPP!B$1:B$32,MATCH(COUNTIF(BI8:BR8,16),[1]ETAPP!A$1:A$32,0))&amp;INDEX([1]ETAPP!B$1:B$32,MATCH(COUNTIF(BI8:BR8,17),[1]ETAPP!A$1:A$32,0))&amp;INDEX([1]ETAPP!B$1:B$32,MATCH(COUNTIF(BI8:BR8,18),[1]ETAPP!A$1:A$32,0))&amp;INDEX([1]ETAPP!B$1:B$32,MATCH(COUNTIF(BI8:BR8,19),[1]ETAPP!A$1:A$32,0))&amp;INDEX([1]ETAPP!B$1:B$32,MATCH(COUNTIF(BI8:BR8,20),[1]ETAPP!A$1:A$32,0))&amp;INDEX([1]ETAPP!B$1:B$32,MATCH(COUNTIF(BI8:BR8,21),[1]ETAPP!A$1:A$32,0))</f>
        <v>0ABAA0D00000A00000000</v>
      </c>
      <c r="T8" s="561" t="str">
        <f t="shared" si="12"/>
        <v>166,0-0ABAA0D00000A00000000</v>
      </c>
      <c r="U8" s="561">
        <f t="shared" si="13"/>
        <v>2</v>
      </c>
      <c r="V8" s="561">
        <f t="shared" si="14"/>
        <v>28</v>
      </c>
      <c r="W8" s="561" t="str">
        <f t="shared" si="15"/>
        <v>166,0-0ABAA0D00000A00000000-028</v>
      </c>
      <c r="X8" s="561">
        <f t="shared" si="16"/>
        <v>2</v>
      </c>
      <c r="Y8" s="562">
        <f t="shared" si="17"/>
        <v>113</v>
      </c>
      <c r="Z8" s="563">
        <f>IFERROR(INDEX('V1'!C$300:C$400,MATCH("*"&amp;L8&amp;"*",'V1'!B$300:B$400,0)),"  ")</f>
        <v>22</v>
      </c>
      <c r="AA8" s="563">
        <f>IFERROR(INDEX('V2'!C$300:C$400,MATCH("*"&amp;L8&amp;"*",'V2'!B$300:B$400,0)),"  ")</f>
        <v>18</v>
      </c>
      <c r="AB8" s="563">
        <f>IFERROR(INDEX('V3'!C$300:C$400,MATCH("*"&amp;L8&amp;"*",'V3'!B$300:B$400,0)),"  ")</f>
        <v>18</v>
      </c>
      <c r="AC8" s="563">
        <f>IFERROR(INDEX('V4'!C$300:C$400,MATCH("*"&amp;L8&amp;"*",'V4'!B$300:B$400,0)),"  ")</f>
        <v>26</v>
      </c>
      <c r="AD8" s="563">
        <f>IFERROR(INDEX('V5'!C$300:C$400,MATCH("*"&amp;L8&amp;"*",'V5'!B$300:B$400,0)),"  ")</f>
        <v>12</v>
      </c>
      <c r="AE8" s="563">
        <f>IFERROR(INDEX('V6'!C$300:C$400,MATCH("*"&amp;L8&amp;"*",'V6'!B$300:B$400,0)),"  ")</f>
        <v>20</v>
      </c>
      <c r="AF8" s="563">
        <f>IFERROR(INDEX('V7'!C$300:C$400,MATCH("*"&amp;L8&amp;"*",'V7'!B$300:B$400,0)),"  ")</f>
        <v>14</v>
      </c>
      <c r="AG8" s="563">
        <f>IFERROR(INDEX('V8'!C$300:C$400,MATCH("*"&amp;L8&amp;"*",'V8'!B$300:B$400,0)),"  ")</f>
        <v>10</v>
      </c>
      <c r="AH8" s="563">
        <f>IFERROR(INDEX('V9'!C$300:C$400,MATCH("*"&amp;L8&amp;"*",'V9'!B$300:B$400,0)),"  ")</f>
        <v>16</v>
      </c>
      <c r="AI8" s="563">
        <f>IFERROR(INDEX('V10'!C$300:C$400,MATCH("*"&amp;L8&amp;"*",'V10'!B$300:B$400,0)),"  ")</f>
        <v>20</v>
      </c>
      <c r="AJ8" s="564">
        <f t="shared" si="18"/>
        <v>2</v>
      </c>
      <c r="AK8" s="565">
        <f t="shared" si="19"/>
        <v>176</v>
      </c>
      <c r="AL8" s="566" t="str">
        <f t="shared" si="20"/>
        <v>edasi 2</v>
      </c>
      <c r="AM8" s="567" t="str">
        <f>IFERROR(INDEX(#REF!,MATCH("*"&amp;L8&amp;"*",#REF!,0)),"  ")</f>
        <v xml:space="preserve">  </v>
      </c>
      <c r="AN8" s="568">
        <f t="shared" si="21"/>
        <v>10</v>
      </c>
      <c r="AO8" s="469">
        <f t="shared" si="22"/>
        <v>3</v>
      </c>
      <c r="AP8" s="469">
        <f t="shared" si="23"/>
        <v>0</v>
      </c>
      <c r="AQ8" s="569"/>
      <c r="AR8" s="569"/>
      <c r="AS8" s="569"/>
      <c r="AT8" s="570">
        <f t="shared" si="24"/>
        <v>10.0008</v>
      </c>
      <c r="AU8" s="571">
        <f t="shared" si="25"/>
        <v>22.0001</v>
      </c>
      <c r="AV8" s="571">
        <f t="shared" si="26"/>
        <v>18.0002</v>
      </c>
      <c r="AW8" s="571">
        <f t="shared" si="27"/>
        <v>18.000299999999999</v>
      </c>
      <c r="AX8" s="571">
        <f t="shared" si="28"/>
        <v>26.000399999999999</v>
      </c>
      <c r="AY8" s="571">
        <f t="shared" si="29"/>
        <v>12.000500000000001</v>
      </c>
      <c r="AZ8" s="571">
        <f t="shared" si="30"/>
        <v>20.000599999999999</v>
      </c>
      <c r="BA8" s="571">
        <f t="shared" si="31"/>
        <v>14.0007</v>
      </c>
      <c r="BB8" s="571">
        <f t="shared" si="32"/>
        <v>10.0008</v>
      </c>
      <c r="BC8" s="571">
        <f t="shared" si="33"/>
        <v>16.000900000000001</v>
      </c>
      <c r="BD8" s="571">
        <f t="shared" si="34"/>
        <v>20.001000000000001</v>
      </c>
      <c r="BE8" s="569"/>
      <c r="BF8" s="569"/>
      <c r="BG8" s="569"/>
      <c r="BH8" s="569"/>
      <c r="BI8" s="377">
        <f t="shared" si="35"/>
        <v>3</v>
      </c>
      <c r="BJ8" s="377">
        <f t="shared" si="36"/>
        <v>7</v>
      </c>
      <c r="BK8" s="377">
        <f t="shared" si="37"/>
        <v>7</v>
      </c>
      <c r="BL8" s="377">
        <f t="shared" si="38"/>
        <v>2</v>
      </c>
      <c r="BM8" s="377">
        <f t="shared" si="39"/>
        <v>13</v>
      </c>
      <c r="BN8" s="377">
        <f t="shared" si="40"/>
        <v>7</v>
      </c>
      <c r="BO8" s="377">
        <f t="shared" si="41"/>
        <v>4</v>
      </c>
      <c r="BP8" s="377">
        <f t="shared" si="42"/>
        <v>5</v>
      </c>
      <c r="BQ8" s="377">
        <f t="shared" si="43"/>
        <v>7</v>
      </c>
      <c r="BR8" s="377">
        <f t="shared" si="44"/>
        <v>3</v>
      </c>
    </row>
    <row r="9" spans="1:70" x14ac:dyDescent="0.2">
      <c r="A9" s="484">
        <f t="shared" si="1"/>
        <v>3</v>
      </c>
      <c r="B9" s="485">
        <f t="shared" si="2"/>
        <v>3</v>
      </c>
      <c r="C9" s="486" t="str">
        <f t="shared" si="3"/>
        <v/>
      </c>
      <c r="D9" s="487">
        <f t="shared" si="4"/>
        <v>-997</v>
      </c>
      <c r="E9" s="488">
        <f t="shared" si="5"/>
        <v>4</v>
      </c>
      <c r="F9" s="489">
        <f t="shared" si="6"/>
        <v>3</v>
      </c>
      <c r="G9" s="490" t="str">
        <f t="shared" si="7"/>
        <v/>
      </c>
      <c r="H9" s="489">
        <f t="shared" si="8"/>
        <v>-997</v>
      </c>
      <c r="I9" s="491" t="str">
        <f t="shared" si="9"/>
        <v/>
      </c>
      <c r="J9" s="554">
        <f t="shared" si="10"/>
        <v>-997</v>
      </c>
      <c r="K9" s="526">
        <f t="shared" si="11"/>
        <v>3</v>
      </c>
      <c r="L9" s="555" t="s">
        <v>171</v>
      </c>
      <c r="M9" s="556"/>
      <c r="N9" s="557" t="str">
        <f>IF(M9="","m","")</f>
        <v>m</v>
      </c>
      <c r="O9" s="558"/>
      <c r="P9" s="559"/>
      <c r="Q9" s="560" t="s">
        <v>148</v>
      </c>
      <c r="R9" s="539">
        <f>(IF(COUNT(Z9,AA9,AB9,AC9,AD9,AE9,AF9,AG9,AH9,AI9)&lt;10,SUM(Z9,AA9,AB9,AC9,AD9,AE9,AF9,AG9,AH9,AI9),SUM(LARGE((Z9,AA9,AB9,AC9,AD9,AE9,AF9,AG9,AH9,AI9),{1;2;3;4;5;6;7;8;9}))))</f>
        <v>166</v>
      </c>
      <c r="S9" s="561" t="str">
        <f>INDEX([1]ETAPP!B$1:B$32,MATCH(COUNTIF(BI9:BR9,1),[1]ETAPP!A$1:A$32,0))&amp;INDEX([1]ETAPP!B$1:B$32,MATCH(COUNTIF(BI9:BR9,2),[1]ETAPP!A$1:A$32,0))&amp;INDEX([1]ETAPP!B$1:B$32,MATCH(COUNTIF(BI9:BR9,3),[1]ETAPP!A$1:A$32,0))&amp;INDEX([1]ETAPP!B$1:B$32,MATCH(COUNTIF(BI9:BR9,4),[1]ETAPP!A$1:A$32,0))&amp;INDEX([1]ETAPP!B$1:B$32,MATCH(COUNTIF(BI9:BR9,5),[1]ETAPP!A$1:A$32,0))&amp;INDEX([1]ETAPP!B$1:B$32,MATCH(COUNTIF(BI9:BR9,6),[1]ETAPP!A$1:A$32,0))&amp;INDEX([1]ETAPP!B$1:B$32,MATCH(COUNTIF(BI9:BR9,7),[1]ETAPP!A$1:A$32,0))&amp;INDEX([1]ETAPP!B$1:B$32,MATCH(COUNTIF(BI9:BR9,8),[1]ETAPP!A$1:A$32,0))&amp;INDEX([1]ETAPP!B$1:B$32,MATCH(COUNTIF(BI9:BR9,9),[1]ETAPP!A$1:A$32,0))&amp;INDEX([1]ETAPP!B$1:B$32,MATCH(COUNTIF(BI9:BR9,10),[1]ETAPP!A$1:A$32,0))&amp;INDEX([1]ETAPP!B$1:B$32,MATCH(COUNTIF(BI9:BR9,11),[1]ETAPP!A$1:A$32,0))&amp;INDEX([1]ETAPP!B$1:B$32,MATCH(COUNTIF(BI9:BR9,12),[1]ETAPP!A$1:A$32,0))&amp;INDEX([1]ETAPP!B$1:B$32,MATCH(COUNTIF(BI9:BR9,13),[1]ETAPP!A$1:A$32,0))&amp;INDEX([1]ETAPP!B$1:B$32,MATCH(COUNTIF(BI9:BR9,14),[1]ETAPP!A$1:A$32,0))&amp;INDEX([1]ETAPP!B$1:B$32,MATCH(COUNTIF(BI9:BR9,15),[1]ETAPP!A$1:A$32,0))&amp;INDEX([1]ETAPP!B$1:B$32,MATCH(COUNTIF(BI9:BR9,16),[1]ETAPP!A$1:A$32,0))&amp;INDEX([1]ETAPP!B$1:B$32,MATCH(COUNTIF(BI9:BR9,17),[1]ETAPP!A$1:A$32,0))&amp;INDEX([1]ETAPP!B$1:B$32,MATCH(COUNTIF(BI9:BR9,18),[1]ETAPP!A$1:A$32,0))&amp;INDEX([1]ETAPP!B$1:B$32,MATCH(COUNTIF(BI9:BR9,19),[1]ETAPP!A$1:A$32,0))&amp;INDEX([1]ETAPP!B$1:B$32,MATCH(COUNTIF(BI9:BR9,20),[1]ETAPP!A$1:A$32,0))&amp;INDEX([1]ETAPP!B$1:B$32,MATCH(COUNTIF(BI9:BR9,21),[1]ETAPP!A$1:A$32,0))</f>
        <v>0ABA00D00000A00000000</v>
      </c>
      <c r="T9" s="561" t="str">
        <f t="shared" si="12"/>
        <v>166,0-0ABA00D00000A00000000</v>
      </c>
      <c r="U9" s="561">
        <f t="shared" si="13"/>
        <v>3</v>
      </c>
      <c r="V9" s="561">
        <f t="shared" si="14"/>
        <v>40</v>
      </c>
      <c r="W9" s="561" t="str">
        <f t="shared" si="15"/>
        <v>166,0-0ABA00D00000A00000000-040</v>
      </c>
      <c r="X9" s="561">
        <f t="shared" si="16"/>
        <v>3</v>
      </c>
      <c r="Y9" s="562">
        <f t="shared" si="17"/>
        <v>112</v>
      </c>
      <c r="Z9" s="563">
        <f>IFERROR(INDEX('V1'!C$300:C$400,MATCH("*"&amp;L9&amp;"*",'V1'!B$300:B$400,0)),"  ")</f>
        <v>22</v>
      </c>
      <c r="AA9" s="563">
        <f>IFERROR(INDEX('V2'!C$300:C$400,MATCH("*"&amp;L9&amp;"*",'V2'!B$300:B$400,0)),"  ")</f>
        <v>18</v>
      </c>
      <c r="AB9" s="563">
        <f>IFERROR(INDEX('V3'!C$300:C$400,MATCH("*"&amp;L9&amp;"*",'V3'!B$300:B$400,0)),"  ")</f>
        <v>18</v>
      </c>
      <c r="AC9" s="563">
        <f>IFERROR(INDEX('V4'!C$300:C$400,MATCH("*"&amp;L9&amp;"*",'V4'!B$300:B$400,0)),"  ")</f>
        <v>26</v>
      </c>
      <c r="AD9" s="563">
        <f>IFERROR(INDEX('V5'!C$300:C$400,MATCH("*"&amp;L9&amp;"*",'V5'!B$300:B$400,0)),"  ")</f>
        <v>12</v>
      </c>
      <c r="AE9" s="563">
        <f>IFERROR(INDEX('V6'!C$300:C$400,MATCH("*"&amp;L9&amp;"*",'V6'!B$300:B$400,0)),"  ")</f>
        <v>20</v>
      </c>
      <c r="AF9" s="563">
        <f>IFERROR(INDEX('V7'!C$300:C$400,MATCH("*"&amp;L9&amp;"*",'V7'!B$300:B$400,0)),"  ")</f>
        <v>14</v>
      </c>
      <c r="AG9" s="563" t="str">
        <f>IFERROR(INDEX('V8'!C$300:C$400,MATCH("*"&amp;L9&amp;"*",'V8'!B$300:B$400,0)),"  ")</f>
        <v xml:space="preserve">  </v>
      </c>
      <c r="AH9" s="563">
        <f>IFERROR(INDEX('V9'!C$300:C$400,MATCH("*"&amp;L9&amp;"*",'V9'!B$300:B$400,0)),"  ")</f>
        <v>16</v>
      </c>
      <c r="AI9" s="563">
        <f>IFERROR(INDEX('V10'!C$300:C$400,MATCH("*"&amp;L9&amp;"*",'V10'!B$300:B$400,0)),"  ")</f>
        <v>20</v>
      </c>
      <c r="AJ9" s="564">
        <f t="shared" si="18"/>
        <v>3</v>
      </c>
      <c r="AK9" s="565">
        <f t="shared" si="19"/>
        <v>166</v>
      </c>
      <c r="AL9" s="566" t="str">
        <f t="shared" si="20"/>
        <v>edasi 3</v>
      </c>
      <c r="AM9" s="567" t="str">
        <f>IFERROR(INDEX(#REF!,MATCH("*"&amp;L9&amp;"*",#REF!,0)),"  ")</f>
        <v xml:space="preserve">  </v>
      </c>
      <c r="AN9" s="568">
        <f t="shared" si="21"/>
        <v>9</v>
      </c>
      <c r="AO9" s="469">
        <f t="shared" si="22"/>
        <v>3</v>
      </c>
      <c r="AP9" s="469">
        <f t="shared" si="23"/>
        <v>0</v>
      </c>
      <c r="AQ9" s="569"/>
      <c r="AR9" s="569"/>
      <c r="AS9" s="569"/>
      <c r="AT9" s="570">
        <f t="shared" si="24"/>
        <v>8.0000000000000004E-4</v>
      </c>
      <c r="AU9" s="571">
        <f t="shared" si="25"/>
        <v>22.0001</v>
      </c>
      <c r="AV9" s="571">
        <f t="shared" si="26"/>
        <v>18.0002</v>
      </c>
      <c r="AW9" s="571">
        <f t="shared" si="27"/>
        <v>18.000299999999999</v>
      </c>
      <c r="AX9" s="571">
        <f t="shared" si="28"/>
        <v>26.000399999999999</v>
      </c>
      <c r="AY9" s="571">
        <f t="shared" si="29"/>
        <v>12.000500000000001</v>
      </c>
      <c r="AZ9" s="571">
        <f t="shared" si="30"/>
        <v>20.000599999999999</v>
      </c>
      <c r="BA9" s="571">
        <f t="shared" si="31"/>
        <v>14.0007</v>
      </c>
      <c r="BB9" s="571">
        <f t="shared" si="32"/>
        <v>8.0000000000000004E-4</v>
      </c>
      <c r="BC9" s="571">
        <f t="shared" si="33"/>
        <v>16.000900000000001</v>
      </c>
      <c r="BD9" s="571">
        <f t="shared" si="34"/>
        <v>20.001000000000001</v>
      </c>
      <c r="BE9" s="569"/>
      <c r="BF9" s="569"/>
      <c r="BG9" s="569"/>
      <c r="BH9" s="569"/>
      <c r="BI9" s="377">
        <f t="shared" si="35"/>
        <v>3</v>
      </c>
      <c r="BJ9" s="377">
        <f t="shared" si="36"/>
        <v>7</v>
      </c>
      <c r="BK9" s="377">
        <f t="shared" si="37"/>
        <v>7</v>
      </c>
      <c r="BL9" s="377">
        <f t="shared" si="38"/>
        <v>2</v>
      </c>
      <c r="BM9" s="377">
        <f t="shared" si="39"/>
        <v>13</v>
      </c>
      <c r="BN9" s="377">
        <f t="shared" si="40"/>
        <v>7</v>
      </c>
      <c r="BO9" s="377">
        <f t="shared" si="41"/>
        <v>4</v>
      </c>
      <c r="BP9" s="377" t="e">
        <f t="shared" si="42"/>
        <v>#VALUE!</v>
      </c>
      <c r="BQ9" s="377">
        <f t="shared" si="43"/>
        <v>7</v>
      </c>
      <c r="BR9" s="377">
        <f t="shared" si="44"/>
        <v>3</v>
      </c>
    </row>
    <row r="10" spans="1:70" x14ac:dyDescent="0.2">
      <c r="A10" s="484">
        <f t="shared" si="1"/>
        <v>4</v>
      </c>
      <c r="B10" s="485">
        <f t="shared" si="2"/>
        <v>4</v>
      </c>
      <c r="C10" s="486">
        <f t="shared" si="3"/>
        <v>2</v>
      </c>
      <c r="D10" s="487">
        <f t="shared" si="4"/>
        <v>4</v>
      </c>
      <c r="E10" s="488">
        <f t="shared" si="5"/>
        <v>5</v>
      </c>
      <c r="F10" s="489">
        <f t="shared" si="6"/>
        <v>4</v>
      </c>
      <c r="G10" s="490" t="str">
        <f t="shared" si="7"/>
        <v/>
      </c>
      <c r="H10" s="489">
        <f t="shared" si="8"/>
        <v>-996</v>
      </c>
      <c r="I10" s="491" t="str">
        <f t="shared" si="9"/>
        <v/>
      </c>
      <c r="J10" s="554">
        <f t="shared" si="10"/>
        <v>-996</v>
      </c>
      <c r="K10" s="526">
        <f t="shared" si="11"/>
        <v>4</v>
      </c>
      <c r="L10" s="572" t="s">
        <v>196</v>
      </c>
      <c r="M10" s="556"/>
      <c r="N10" s="557" t="str">
        <f>IF(M10="","m","")</f>
        <v>m</v>
      </c>
      <c r="O10" s="558"/>
      <c r="P10" s="559" t="s">
        <v>269</v>
      </c>
      <c r="Q10" s="560" t="s">
        <v>148</v>
      </c>
      <c r="R10" s="539">
        <f>(IF(COUNT(Z10,AA10,AB10,AC10,AD10,AE10,AF10,AG10,AH10,AI10)&lt;10,SUM(Z10,AA10,AB10,AC10,AD10,AE10,AF10,AG10,AH10,AI10),SUM(LARGE((Z10,AA10,AB10,AC10,AD10,AE10,AF10,AG10,AH10,AI10),{1;2;3;4;5;6;7;8;9}))))</f>
        <v>156</v>
      </c>
      <c r="S10" s="561" t="str">
        <f>INDEX([1]ETAPP!B$1:B$32,MATCH(COUNTIF(BI10:BR10,1),[1]ETAPP!A$1:A$32,0))&amp;INDEX([1]ETAPP!B$1:B$32,MATCH(COUNTIF(BI10:BR10,2),[1]ETAPP!A$1:A$32,0))&amp;INDEX([1]ETAPP!B$1:B$32,MATCH(COUNTIF(BI10:BR10,3),[1]ETAPP!A$1:A$32,0))&amp;INDEX([1]ETAPP!B$1:B$32,MATCH(COUNTIF(BI10:BR10,4),[1]ETAPP!A$1:A$32,0))&amp;INDEX([1]ETAPP!B$1:B$32,MATCH(COUNTIF(BI10:BR10,5),[1]ETAPP!A$1:A$32,0))&amp;INDEX([1]ETAPP!B$1:B$32,MATCH(COUNTIF(BI10:BR10,6),[1]ETAPP!A$1:A$32,0))&amp;INDEX([1]ETAPP!B$1:B$32,MATCH(COUNTIF(BI10:BR10,7),[1]ETAPP!A$1:A$32,0))&amp;INDEX([1]ETAPP!B$1:B$32,MATCH(COUNTIF(BI10:BR10,8),[1]ETAPP!A$1:A$32,0))&amp;INDEX([1]ETAPP!B$1:B$32,MATCH(COUNTIF(BI10:BR10,9),[1]ETAPP!A$1:A$32,0))&amp;INDEX([1]ETAPP!B$1:B$32,MATCH(COUNTIF(BI10:BR10,10),[1]ETAPP!A$1:A$32,0))&amp;INDEX([1]ETAPP!B$1:B$32,MATCH(COUNTIF(BI10:BR10,11),[1]ETAPP!A$1:A$32,0))&amp;INDEX([1]ETAPP!B$1:B$32,MATCH(COUNTIF(BI10:BR10,12),[1]ETAPP!A$1:A$32,0))&amp;INDEX([1]ETAPP!B$1:B$32,MATCH(COUNTIF(BI10:BR10,13),[1]ETAPP!A$1:A$32,0))&amp;INDEX([1]ETAPP!B$1:B$32,MATCH(COUNTIF(BI10:BR10,14),[1]ETAPP!A$1:A$32,0))&amp;INDEX([1]ETAPP!B$1:B$32,MATCH(COUNTIF(BI10:BR10,15),[1]ETAPP!A$1:A$32,0))&amp;INDEX([1]ETAPP!B$1:B$32,MATCH(COUNTIF(BI10:BR10,16),[1]ETAPP!A$1:A$32,0))&amp;INDEX([1]ETAPP!B$1:B$32,MATCH(COUNTIF(BI10:BR10,17),[1]ETAPP!A$1:A$32,0))&amp;INDEX([1]ETAPP!B$1:B$32,MATCH(COUNTIF(BI10:BR10,18),[1]ETAPP!A$1:A$32,0))&amp;INDEX([1]ETAPP!B$1:B$32,MATCH(COUNTIF(BI10:BR10,19),[1]ETAPP!A$1:A$32,0))&amp;INDEX([1]ETAPP!B$1:B$32,MATCH(COUNTIF(BI10:BR10,20),[1]ETAPP!A$1:A$32,0))&amp;INDEX([1]ETAPP!B$1:B$32,MATCH(COUNTIF(BI10:BR10,21),[1]ETAPP!A$1:A$32,0))</f>
        <v>00ABB0AABA00000000000</v>
      </c>
      <c r="T10" s="561" t="str">
        <f t="shared" si="12"/>
        <v>156,0-00ABB0AABA00000000000</v>
      </c>
      <c r="U10" s="561">
        <f t="shared" si="13"/>
        <v>4</v>
      </c>
      <c r="V10" s="561">
        <f t="shared" si="14"/>
        <v>108</v>
      </c>
      <c r="W10" s="561" t="str">
        <f t="shared" si="15"/>
        <v>156,0-00ABB0AABA00000000000-108</v>
      </c>
      <c r="X10" s="561">
        <f t="shared" si="16"/>
        <v>4</v>
      </c>
      <c r="Y10" s="562">
        <f t="shared" si="17"/>
        <v>111</v>
      </c>
      <c r="Z10" s="563">
        <f>IFERROR(INDEX('V1'!C$300:C$400,MATCH("*"&amp;L10&amp;"*",'V1'!B$300:B$400,0)),"  ")</f>
        <v>8</v>
      </c>
      <c r="AA10" s="563">
        <f>IFERROR(INDEX('V2'!C$300:C$400,MATCH("*"&amp;L10&amp;"*",'V2'!B$300:B$400,0)),"  ")</f>
        <v>22</v>
      </c>
      <c r="AB10" s="563">
        <f>IFERROR(INDEX('V3'!C$300:C$400,MATCH("*"&amp;L10&amp;"*",'V3'!B$300:B$400,0)),"  ")</f>
        <v>24</v>
      </c>
      <c r="AC10" s="563">
        <f>IFERROR(INDEX('V4'!C$300:C$400,MATCH("*"&amp;L10&amp;"*",'V4'!B$300:B$400,0)),"  ")</f>
        <v>12</v>
      </c>
      <c r="AD10" s="563">
        <f>IFERROR(INDEX('V5'!C$300:C$400,MATCH("*"&amp;L10&amp;"*",'V5'!B$300:B$400,0)),"  ")</f>
        <v>20</v>
      </c>
      <c r="AE10" s="563">
        <f>IFERROR(INDEX('V6'!C$300:C$400,MATCH("*"&amp;L10&amp;"*",'V6'!B$300:B$400,0)),"  ")</f>
        <v>18</v>
      </c>
      <c r="AF10" s="563">
        <f>IFERROR(INDEX('V7'!C$300:C$400,MATCH("*"&amp;L10&amp;"*",'V7'!B$300:B$400,0)),"  ")</f>
        <v>14</v>
      </c>
      <c r="AG10" s="563">
        <f>IFERROR(INDEX('V8'!C$300:C$400,MATCH("*"&amp;L10&amp;"*",'V8'!B$300:B$400,0)),"  ")</f>
        <v>10</v>
      </c>
      <c r="AH10" s="563">
        <f>IFERROR(INDEX('V9'!C$300:C$400,MATCH("*"&amp;L10&amp;"*",'V9'!B$300:B$400,0)),"  ")</f>
        <v>16</v>
      </c>
      <c r="AI10" s="563">
        <f>IFERROR(INDEX('V10'!C$300:C$400,MATCH("*"&amp;L10&amp;"*",'V10'!B$300:B$400,0)),"  ")</f>
        <v>20</v>
      </c>
      <c r="AJ10" s="564">
        <f t="shared" si="18"/>
        <v>4</v>
      </c>
      <c r="AK10" s="565">
        <f t="shared" si="19"/>
        <v>164</v>
      </c>
      <c r="AL10" s="566" t="str">
        <f t="shared" si="20"/>
        <v>edasi 4</v>
      </c>
      <c r="AM10" s="567" t="str">
        <f>IFERROR(INDEX(#REF!,MATCH("*"&amp;L10&amp;"*",#REF!,0)),"  ")</f>
        <v xml:space="preserve">  </v>
      </c>
      <c r="AN10" s="568">
        <f t="shared" si="21"/>
        <v>10</v>
      </c>
      <c r="AO10" s="469">
        <f t="shared" si="22"/>
        <v>1</v>
      </c>
      <c r="AP10" s="469">
        <f t="shared" si="23"/>
        <v>0</v>
      </c>
      <c r="AQ10" s="569"/>
      <c r="AR10" s="569"/>
      <c r="AS10" s="569"/>
      <c r="AT10" s="570">
        <f t="shared" si="24"/>
        <v>8.0000999999999998</v>
      </c>
      <c r="AU10" s="571">
        <f t="shared" si="25"/>
        <v>8.0000999999999998</v>
      </c>
      <c r="AV10" s="571">
        <f t="shared" si="26"/>
        <v>22.0002</v>
      </c>
      <c r="AW10" s="571">
        <f t="shared" si="27"/>
        <v>24.000299999999999</v>
      </c>
      <c r="AX10" s="571">
        <f t="shared" si="28"/>
        <v>12.000400000000001</v>
      </c>
      <c r="AY10" s="571">
        <f t="shared" si="29"/>
        <v>20.000499999999999</v>
      </c>
      <c r="AZ10" s="571">
        <f t="shared" si="30"/>
        <v>18.000599999999999</v>
      </c>
      <c r="BA10" s="571">
        <f t="shared" si="31"/>
        <v>14.0007</v>
      </c>
      <c r="BB10" s="571">
        <f t="shared" si="32"/>
        <v>10.0008</v>
      </c>
      <c r="BC10" s="571">
        <f t="shared" si="33"/>
        <v>16.000900000000001</v>
      </c>
      <c r="BD10" s="571">
        <f t="shared" si="34"/>
        <v>20.001000000000001</v>
      </c>
      <c r="BE10" s="569"/>
      <c r="BF10" s="569"/>
      <c r="BG10" s="569"/>
      <c r="BH10" s="569"/>
      <c r="BI10" s="377">
        <f t="shared" si="35"/>
        <v>10</v>
      </c>
      <c r="BJ10" s="377">
        <f t="shared" si="36"/>
        <v>5</v>
      </c>
      <c r="BK10" s="377">
        <f t="shared" si="37"/>
        <v>4</v>
      </c>
      <c r="BL10" s="377">
        <f t="shared" si="38"/>
        <v>9</v>
      </c>
      <c r="BM10" s="377">
        <f t="shared" si="39"/>
        <v>9</v>
      </c>
      <c r="BN10" s="377">
        <f t="shared" si="40"/>
        <v>8</v>
      </c>
      <c r="BO10" s="377">
        <f t="shared" si="41"/>
        <v>4</v>
      </c>
      <c r="BP10" s="377">
        <f t="shared" si="42"/>
        <v>5</v>
      </c>
      <c r="BQ10" s="377">
        <f t="shared" si="43"/>
        <v>7</v>
      </c>
      <c r="BR10" s="377">
        <f t="shared" si="44"/>
        <v>3</v>
      </c>
    </row>
    <row r="11" spans="1:70" x14ac:dyDescent="0.2">
      <c r="A11" s="484">
        <f t="shared" si="1"/>
        <v>5</v>
      </c>
      <c r="B11" s="485">
        <f t="shared" si="2"/>
        <v>6</v>
      </c>
      <c r="C11" s="486" t="str">
        <f t="shared" si="3"/>
        <v/>
      </c>
      <c r="D11" s="487">
        <f t="shared" si="4"/>
        <v>-994</v>
      </c>
      <c r="E11" s="488" t="str">
        <f t="shared" si="5"/>
        <v/>
      </c>
      <c r="F11" s="489">
        <f t="shared" si="6"/>
        <v>-994</v>
      </c>
      <c r="G11" s="490">
        <f t="shared" si="7"/>
        <v>1</v>
      </c>
      <c r="H11" s="489">
        <f t="shared" si="8"/>
        <v>6</v>
      </c>
      <c r="I11" s="491" t="str">
        <f t="shared" si="9"/>
        <v/>
      </c>
      <c r="J11" s="554">
        <f t="shared" si="10"/>
        <v>-994</v>
      </c>
      <c r="K11" s="526">
        <f t="shared" si="11"/>
        <v>5</v>
      </c>
      <c r="L11" s="555" t="s">
        <v>195</v>
      </c>
      <c r="M11" s="556" t="s">
        <v>170</v>
      </c>
      <c r="N11" s="557" t="s">
        <v>170</v>
      </c>
      <c r="O11" s="558"/>
      <c r="P11" s="559"/>
      <c r="Q11" s="560" t="s">
        <v>148</v>
      </c>
      <c r="R11" s="539">
        <f>(IF(COUNT(Z11,AA11,AB11,AC11,AD11,AE11,AF11,AG11,AH11,AI11)&lt;10,SUM(Z11,AA11,AB11,AC11,AD11,AE11,AF11,AG11,AH11,AI11),SUM(LARGE((Z11,AA11,AB11,AC11,AD11,AE11,AF11,AG11,AH11,AI11),{1;2;3;4;5;6;7;8;9}))))</f>
        <v>154</v>
      </c>
      <c r="S11" s="561" t="str">
        <f>INDEX([1]ETAPP!B$1:B$32,MATCH(COUNTIF(BI11:BR11,1),[1]ETAPP!A$1:A$32,0))&amp;INDEX([1]ETAPP!B$1:B$32,MATCH(COUNTIF(BI11:BR11,2),[1]ETAPP!A$1:A$32,0))&amp;INDEX([1]ETAPP!B$1:B$32,MATCH(COUNTIF(BI11:BR11,3),[1]ETAPP!A$1:A$32,0))&amp;INDEX([1]ETAPP!B$1:B$32,MATCH(COUNTIF(BI11:BR11,4),[1]ETAPP!A$1:A$32,0))&amp;INDEX([1]ETAPP!B$1:B$32,MATCH(COUNTIF(BI11:BR11,5),[1]ETAPP!A$1:A$32,0))&amp;INDEX([1]ETAPP!B$1:B$32,MATCH(COUNTIF(BI11:BR11,6),[1]ETAPP!A$1:A$32,0))&amp;INDEX([1]ETAPP!B$1:B$32,MATCH(COUNTIF(BI11:BR11,7),[1]ETAPP!A$1:A$32,0))&amp;INDEX([1]ETAPP!B$1:B$32,MATCH(COUNTIF(BI11:BR11,8),[1]ETAPP!A$1:A$32,0))&amp;INDEX([1]ETAPP!B$1:B$32,MATCH(COUNTIF(BI11:BR11,9),[1]ETAPP!A$1:A$32,0))&amp;INDEX([1]ETAPP!B$1:B$32,MATCH(COUNTIF(BI11:BR11,10),[1]ETAPP!A$1:A$32,0))&amp;INDEX([1]ETAPP!B$1:B$32,MATCH(COUNTIF(BI11:BR11,11),[1]ETAPP!A$1:A$32,0))&amp;INDEX([1]ETAPP!B$1:B$32,MATCH(COUNTIF(BI11:BR11,12),[1]ETAPP!A$1:A$32,0))&amp;INDEX([1]ETAPP!B$1:B$32,MATCH(COUNTIF(BI11:BR11,13),[1]ETAPP!A$1:A$32,0))&amp;INDEX([1]ETAPP!B$1:B$32,MATCH(COUNTIF(BI11:BR11,14),[1]ETAPP!A$1:A$32,0))&amp;INDEX([1]ETAPP!B$1:B$32,MATCH(COUNTIF(BI11:BR11,15),[1]ETAPP!A$1:A$32,0))&amp;INDEX([1]ETAPP!B$1:B$32,MATCH(COUNTIF(BI11:BR11,16),[1]ETAPP!A$1:A$32,0))&amp;INDEX([1]ETAPP!B$1:B$32,MATCH(COUNTIF(BI11:BR11,17),[1]ETAPP!A$1:A$32,0))&amp;INDEX([1]ETAPP!B$1:B$32,MATCH(COUNTIF(BI11:BR11,18),[1]ETAPP!A$1:A$32,0))&amp;INDEX([1]ETAPP!B$1:B$32,MATCH(COUNTIF(BI11:BR11,19),[1]ETAPP!A$1:A$32,0))&amp;INDEX([1]ETAPP!B$1:B$32,MATCH(COUNTIF(BI11:BR11,20),[1]ETAPP!A$1:A$32,0))&amp;INDEX([1]ETAPP!B$1:B$32,MATCH(COUNTIF(BI11:BR11,21),[1]ETAPP!A$1:A$32,0))</f>
        <v>0BB0AA0000CA000000000</v>
      </c>
      <c r="T11" s="561" t="str">
        <f t="shared" si="12"/>
        <v>154,0-0BB0AA0000CA000000000</v>
      </c>
      <c r="U11" s="561">
        <f t="shared" si="13"/>
        <v>6</v>
      </c>
      <c r="V11" s="561">
        <f t="shared" si="14"/>
        <v>62</v>
      </c>
      <c r="W11" s="561" t="str">
        <f t="shared" si="15"/>
        <v>154,0-0BB0AA0000CA000000000-062</v>
      </c>
      <c r="X11" s="561">
        <f t="shared" si="16"/>
        <v>5</v>
      </c>
      <c r="Y11" s="562">
        <f t="shared" si="17"/>
        <v>110</v>
      </c>
      <c r="Z11" s="563">
        <f>IFERROR(INDEX('V1'!C$300:C$400,MATCH("*"&amp;L11&amp;"*",'V1'!B$300:B$400,0)),"  ")</f>
        <v>6</v>
      </c>
      <c r="AA11" s="563">
        <f>IFERROR(INDEX('V2'!C$300:C$400,MATCH("*"&amp;L11&amp;"*",'V2'!B$300:B$400,0)),"  ")</f>
        <v>8</v>
      </c>
      <c r="AB11" s="563">
        <f>IFERROR(INDEX('V3'!C$300:C$400,MATCH("*"&amp;L11&amp;"*",'V3'!B$300:B$400,0)),"  ")</f>
        <v>28</v>
      </c>
      <c r="AC11" s="563">
        <f>IFERROR(INDEX('V4'!C$300:C$400,MATCH("*"&amp;L11&amp;"*",'V4'!B$300:B$400,0)),"  ")</f>
        <v>8</v>
      </c>
      <c r="AD11" s="563">
        <f>IFERROR(INDEX('V5'!C$300:C$400,MATCH("*"&amp;L11&amp;"*",'V5'!B$300:B$400,0)),"  ")</f>
        <v>16</v>
      </c>
      <c r="AE11" s="563">
        <f>IFERROR(INDEX('V6'!C$300:C$400,MATCH("*"&amp;L11&amp;"*",'V6'!B$300:B$400,0)),"  ")</f>
        <v>28</v>
      </c>
      <c r="AF11" s="563">
        <f>IFERROR(INDEX('V7'!C$300:C$400,MATCH("*"&amp;L11&amp;"*",'V7'!B$300:B$400,0)),"  ")</f>
        <v>18</v>
      </c>
      <c r="AG11" s="563">
        <f>IFERROR(INDEX('V8'!C$300:C$400,MATCH("*"&amp;L11&amp;"*",'V8'!B$300:B$400,0)),"  ")</f>
        <v>8</v>
      </c>
      <c r="AH11" s="563">
        <f>IFERROR(INDEX('V9'!C$300:C$400,MATCH("*"&amp;L11&amp;"*",'V9'!B$300:B$400,0)),"  ")</f>
        <v>24</v>
      </c>
      <c r="AI11" s="563">
        <f>IFERROR(INDEX('V10'!C$300:C$400,MATCH("*"&amp;L11&amp;"*",'V10'!B$300:B$400,0)),"  ")</f>
        <v>16</v>
      </c>
      <c r="AJ11" s="564">
        <f t="shared" si="18"/>
        <v>5</v>
      </c>
      <c r="AK11" s="565">
        <f t="shared" si="19"/>
        <v>160</v>
      </c>
      <c r="AL11" s="566" t="str">
        <f t="shared" si="20"/>
        <v>edasi 5</v>
      </c>
      <c r="AM11" s="567" t="str">
        <f>IFERROR(INDEX(#REF!,MATCH("*"&amp;L11&amp;"*",#REF!,0)),"  ")</f>
        <v xml:space="preserve">  </v>
      </c>
      <c r="AN11" s="568">
        <f t="shared" si="21"/>
        <v>10</v>
      </c>
      <c r="AO11" s="469">
        <f t="shared" si="22"/>
        <v>4</v>
      </c>
      <c r="AP11" s="469">
        <f t="shared" si="23"/>
        <v>0</v>
      </c>
      <c r="AQ11" s="569"/>
      <c r="AR11" s="569"/>
      <c r="AS11" s="569"/>
      <c r="AT11" s="570">
        <f t="shared" si="24"/>
        <v>6.0000999999999998</v>
      </c>
      <c r="AU11" s="571">
        <f t="shared" si="25"/>
        <v>6.0000999999999998</v>
      </c>
      <c r="AV11" s="571">
        <f t="shared" si="26"/>
        <v>8.0001999999999995</v>
      </c>
      <c r="AW11" s="571">
        <f t="shared" si="27"/>
        <v>28.000299999999999</v>
      </c>
      <c r="AX11" s="571">
        <f t="shared" si="28"/>
        <v>8.0004000000000008</v>
      </c>
      <c r="AY11" s="571">
        <f t="shared" si="29"/>
        <v>16.000499999999999</v>
      </c>
      <c r="AZ11" s="571">
        <f t="shared" si="30"/>
        <v>28.000599999999999</v>
      </c>
      <c r="BA11" s="571">
        <f t="shared" si="31"/>
        <v>18.000699999999998</v>
      </c>
      <c r="BB11" s="571">
        <f t="shared" si="32"/>
        <v>8.0007999999999999</v>
      </c>
      <c r="BC11" s="571">
        <f t="shared" si="33"/>
        <v>24.000900000000001</v>
      </c>
      <c r="BD11" s="571">
        <f t="shared" si="34"/>
        <v>16.001000000000001</v>
      </c>
      <c r="BE11" s="569"/>
      <c r="BF11" s="569"/>
      <c r="BG11" s="569"/>
      <c r="BH11" s="569"/>
      <c r="BI11" s="377">
        <f t="shared" si="35"/>
        <v>11</v>
      </c>
      <c r="BJ11" s="377">
        <f t="shared" si="36"/>
        <v>12</v>
      </c>
      <c r="BK11" s="377">
        <f t="shared" si="37"/>
        <v>2</v>
      </c>
      <c r="BL11" s="377">
        <f t="shared" si="38"/>
        <v>11</v>
      </c>
      <c r="BM11" s="377">
        <f t="shared" si="39"/>
        <v>11</v>
      </c>
      <c r="BN11" s="377">
        <f t="shared" si="40"/>
        <v>3</v>
      </c>
      <c r="BO11" s="377">
        <f t="shared" si="41"/>
        <v>2</v>
      </c>
      <c r="BP11" s="377">
        <f t="shared" si="42"/>
        <v>6</v>
      </c>
      <c r="BQ11" s="377">
        <f t="shared" si="43"/>
        <v>3</v>
      </c>
      <c r="BR11" s="377">
        <f t="shared" si="44"/>
        <v>5</v>
      </c>
    </row>
    <row r="12" spans="1:70" x14ac:dyDescent="0.2">
      <c r="A12" s="484">
        <f t="shared" si="1"/>
        <v>5</v>
      </c>
      <c r="B12" s="485">
        <f t="shared" si="2"/>
        <v>6</v>
      </c>
      <c r="C12" s="486" t="str">
        <f t="shared" si="3"/>
        <v/>
      </c>
      <c r="D12" s="487">
        <f t="shared" si="4"/>
        <v>-994</v>
      </c>
      <c r="E12" s="488">
        <f t="shared" si="5"/>
        <v>6</v>
      </c>
      <c r="F12" s="489">
        <f t="shared" si="6"/>
        <v>6</v>
      </c>
      <c r="G12" s="490" t="str">
        <f t="shared" si="7"/>
        <v/>
      </c>
      <c r="H12" s="489">
        <f t="shared" si="8"/>
        <v>-994</v>
      </c>
      <c r="I12" s="491" t="str">
        <f t="shared" si="9"/>
        <v/>
      </c>
      <c r="J12" s="554">
        <f t="shared" si="10"/>
        <v>-994</v>
      </c>
      <c r="K12" s="526">
        <f t="shared" si="11"/>
        <v>5</v>
      </c>
      <c r="L12" s="555" t="s">
        <v>191</v>
      </c>
      <c r="M12" s="556"/>
      <c r="N12" s="557" t="s">
        <v>168</v>
      </c>
      <c r="O12" s="558"/>
      <c r="P12" s="559"/>
      <c r="Q12" s="560" t="s">
        <v>148</v>
      </c>
      <c r="R12" s="539">
        <f>(IF(COUNT(Z12,AA12,AB12,AC12,AD12,AE12,AF12,AG12,AH12,AI12)&lt;10,SUM(Z12,AA12,AB12,AC12,AD12,AE12,AF12,AG12,AH12,AI12),SUM(LARGE((Z12,AA12,AB12,AC12,AD12,AE12,AF12,AG12,AH12,AI12),{1;2;3;4;5;6;7;8;9}))))</f>
        <v>154</v>
      </c>
      <c r="S12" s="561" t="str">
        <f>INDEX([1]ETAPP!B$1:B$32,MATCH(COUNTIF(BI12:BR12,1),[1]ETAPP!A$1:A$32,0))&amp;INDEX([1]ETAPP!B$1:B$32,MATCH(COUNTIF(BI12:BR12,2),[1]ETAPP!A$1:A$32,0))&amp;INDEX([1]ETAPP!B$1:B$32,MATCH(COUNTIF(BI12:BR12,3),[1]ETAPP!A$1:A$32,0))&amp;INDEX([1]ETAPP!B$1:B$32,MATCH(COUNTIF(BI12:BR12,4),[1]ETAPP!A$1:A$32,0))&amp;INDEX([1]ETAPP!B$1:B$32,MATCH(COUNTIF(BI12:BR12,5),[1]ETAPP!A$1:A$32,0))&amp;INDEX([1]ETAPP!B$1:B$32,MATCH(COUNTIF(BI12:BR12,6),[1]ETAPP!A$1:A$32,0))&amp;INDEX([1]ETAPP!B$1:B$32,MATCH(COUNTIF(BI12:BR12,7),[1]ETAPP!A$1:A$32,0))&amp;INDEX([1]ETAPP!B$1:B$32,MATCH(COUNTIF(BI12:BR12,8),[1]ETAPP!A$1:A$32,0))&amp;INDEX([1]ETAPP!B$1:B$32,MATCH(COUNTIF(BI12:BR12,9),[1]ETAPP!A$1:A$32,0))&amp;INDEX([1]ETAPP!B$1:B$32,MATCH(COUNTIF(BI12:BR12,10),[1]ETAPP!A$1:A$32,0))&amp;INDEX([1]ETAPP!B$1:B$32,MATCH(COUNTIF(BI12:BR12,11),[1]ETAPP!A$1:A$32,0))&amp;INDEX([1]ETAPP!B$1:B$32,MATCH(COUNTIF(BI12:BR12,12),[1]ETAPP!A$1:A$32,0))&amp;INDEX([1]ETAPP!B$1:B$32,MATCH(COUNTIF(BI12:BR12,13),[1]ETAPP!A$1:A$32,0))&amp;INDEX([1]ETAPP!B$1:B$32,MATCH(COUNTIF(BI12:BR12,14),[1]ETAPP!A$1:A$32,0))&amp;INDEX([1]ETAPP!B$1:B$32,MATCH(COUNTIF(BI12:BR12,15),[1]ETAPP!A$1:A$32,0))&amp;INDEX([1]ETAPP!B$1:B$32,MATCH(COUNTIF(BI12:BR12,16),[1]ETAPP!A$1:A$32,0))&amp;INDEX([1]ETAPP!B$1:B$32,MATCH(COUNTIF(BI12:BR12,17),[1]ETAPP!A$1:A$32,0))&amp;INDEX([1]ETAPP!B$1:B$32,MATCH(COUNTIF(BI12:BR12,18),[1]ETAPP!A$1:A$32,0))&amp;INDEX([1]ETAPP!B$1:B$32,MATCH(COUNTIF(BI12:BR12,19),[1]ETAPP!A$1:A$32,0))&amp;INDEX([1]ETAPP!B$1:B$32,MATCH(COUNTIF(BI12:BR12,20),[1]ETAPP!A$1:A$32,0))&amp;INDEX([1]ETAPP!B$1:B$32,MATCH(COUNTIF(BI12:BR12,21),[1]ETAPP!A$1:A$32,0))</f>
        <v>0BB0AA0000CA000000000</v>
      </c>
      <c r="T12" s="561" t="str">
        <f t="shared" si="12"/>
        <v>154,0-0BB0AA0000CA000000000</v>
      </c>
      <c r="U12" s="561">
        <f t="shared" si="13"/>
        <v>6</v>
      </c>
      <c r="V12" s="561">
        <f t="shared" si="14"/>
        <v>10</v>
      </c>
      <c r="W12" s="561" t="str">
        <f t="shared" si="15"/>
        <v>154,0-0BB0AA0000CA000000000-010</v>
      </c>
      <c r="X12" s="561">
        <f t="shared" si="16"/>
        <v>6</v>
      </c>
      <c r="Y12" s="562">
        <f t="shared" si="17"/>
        <v>109</v>
      </c>
      <c r="Z12" s="563">
        <f>IFERROR(INDEX('V1'!C$300:C$400,MATCH("*"&amp;L12&amp;"*",'V1'!B$300:B$400,0)),"  ")</f>
        <v>6</v>
      </c>
      <c r="AA12" s="563">
        <f>IFERROR(INDEX('V2'!C$300:C$400,MATCH("*"&amp;L12&amp;"*",'V2'!B$300:B$400,0)),"  ")</f>
        <v>8</v>
      </c>
      <c r="AB12" s="563">
        <f>IFERROR(INDEX('V3'!C$300:C$400,MATCH("*"&amp;L12&amp;"*",'V3'!B$300:B$400,0)),"  ")</f>
        <v>28</v>
      </c>
      <c r="AC12" s="563">
        <f>IFERROR(INDEX('V4'!C$300:C$400,MATCH("*"&amp;L12&amp;"*",'V4'!B$300:B$400,0)),"  ")</f>
        <v>8</v>
      </c>
      <c r="AD12" s="563">
        <f>IFERROR(INDEX('V5'!C$300:C$400,MATCH("*"&amp;L12&amp;"*",'V5'!B$300:B$400,0)),"  ")</f>
        <v>16</v>
      </c>
      <c r="AE12" s="563">
        <f>IFERROR(INDEX('V6'!C$300:C$400,MATCH("*"&amp;L12&amp;"*",'V6'!B$300:B$400,0)),"  ")</f>
        <v>28</v>
      </c>
      <c r="AF12" s="563">
        <f>IFERROR(INDEX('V7'!C$300:C$400,MATCH("*"&amp;L12&amp;"*",'V7'!B$300:B$400,0)),"  ")</f>
        <v>18</v>
      </c>
      <c r="AG12" s="563">
        <f>IFERROR(INDEX('V8'!C$300:C$400,MATCH("*"&amp;L12&amp;"*",'V8'!B$300:B$400,0)),"  ")</f>
        <v>8</v>
      </c>
      <c r="AH12" s="563">
        <f>IFERROR(INDEX('V9'!C$300:C$400,MATCH("*"&amp;L12&amp;"*",'V9'!B$300:B$400,0)),"  ")</f>
        <v>24</v>
      </c>
      <c r="AI12" s="563">
        <f>IFERROR(INDEX('V10'!C$300:C$400,MATCH("*"&amp;L12&amp;"*",'V10'!B$300:B$400,0)),"  ")</f>
        <v>16</v>
      </c>
      <c r="AJ12" s="564">
        <f t="shared" si="18"/>
        <v>5</v>
      </c>
      <c r="AK12" s="565">
        <f t="shared" si="19"/>
        <v>160</v>
      </c>
      <c r="AL12" s="566" t="str">
        <f t="shared" si="20"/>
        <v>edasi 5</v>
      </c>
      <c r="AM12" s="567" t="str">
        <f>IFERROR(INDEX(#REF!,MATCH("*"&amp;L12&amp;"*",#REF!,0)),"  ")</f>
        <v xml:space="preserve">  </v>
      </c>
      <c r="AN12" s="568">
        <f t="shared" si="21"/>
        <v>10</v>
      </c>
      <c r="AO12" s="469">
        <f t="shared" si="22"/>
        <v>4</v>
      </c>
      <c r="AP12" s="469">
        <f t="shared" si="23"/>
        <v>0</v>
      </c>
      <c r="AQ12" s="569"/>
      <c r="AR12" s="569"/>
      <c r="AS12" s="569"/>
      <c r="AT12" s="570">
        <f t="shared" si="24"/>
        <v>6.0000999999999998</v>
      </c>
      <c r="AU12" s="571">
        <f t="shared" si="25"/>
        <v>6.0000999999999998</v>
      </c>
      <c r="AV12" s="571">
        <f t="shared" si="26"/>
        <v>8.0001999999999995</v>
      </c>
      <c r="AW12" s="571">
        <f t="shared" si="27"/>
        <v>28.000299999999999</v>
      </c>
      <c r="AX12" s="571">
        <f t="shared" si="28"/>
        <v>8.0004000000000008</v>
      </c>
      <c r="AY12" s="571">
        <f t="shared" si="29"/>
        <v>16.000499999999999</v>
      </c>
      <c r="AZ12" s="571">
        <f t="shared" si="30"/>
        <v>28.000599999999999</v>
      </c>
      <c r="BA12" s="571">
        <f t="shared" si="31"/>
        <v>18.000699999999998</v>
      </c>
      <c r="BB12" s="571">
        <f t="shared" si="32"/>
        <v>8.0007999999999999</v>
      </c>
      <c r="BC12" s="571">
        <f t="shared" si="33"/>
        <v>24.000900000000001</v>
      </c>
      <c r="BD12" s="571">
        <f t="shared" si="34"/>
        <v>16.001000000000001</v>
      </c>
      <c r="BE12" s="569"/>
      <c r="BF12" s="569"/>
      <c r="BG12" s="569"/>
      <c r="BH12" s="569"/>
      <c r="BI12" s="377">
        <f t="shared" si="35"/>
        <v>11</v>
      </c>
      <c r="BJ12" s="377">
        <f t="shared" si="36"/>
        <v>12</v>
      </c>
      <c r="BK12" s="377">
        <f t="shared" si="37"/>
        <v>2</v>
      </c>
      <c r="BL12" s="377">
        <f t="shared" si="38"/>
        <v>11</v>
      </c>
      <c r="BM12" s="377">
        <f t="shared" si="39"/>
        <v>11</v>
      </c>
      <c r="BN12" s="377">
        <f t="shared" si="40"/>
        <v>3</v>
      </c>
      <c r="BO12" s="377">
        <f t="shared" si="41"/>
        <v>2</v>
      </c>
      <c r="BP12" s="377">
        <f t="shared" si="42"/>
        <v>6</v>
      </c>
      <c r="BQ12" s="377">
        <f t="shared" si="43"/>
        <v>3</v>
      </c>
      <c r="BR12" s="377">
        <f t="shared" si="44"/>
        <v>5</v>
      </c>
    </row>
    <row r="13" spans="1:70" x14ac:dyDescent="0.2">
      <c r="A13" s="484">
        <f t="shared" si="1"/>
        <v>7</v>
      </c>
      <c r="B13" s="485">
        <f t="shared" si="2"/>
        <v>7</v>
      </c>
      <c r="C13" s="486" t="str">
        <f t="shared" si="3"/>
        <v/>
      </c>
      <c r="D13" s="487">
        <f t="shared" si="4"/>
        <v>-993</v>
      </c>
      <c r="E13" s="488">
        <f t="shared" si="5"/>
        <v>7</v>
      </c>
      <c r="F13" s="489">
        <f t="shared" si="6"/>
        <v>7</v>
      </c>
      <c r="G13" s="490" t="str">
        <f t="shared" si="7"/>
        <v/>
      </c>
      <c r="H13" s="489">
        <f t="shared" si="8"/>
        <v>-993</v>
      </c>
      <c r="I13" s="491" t="str">
        <f t="shared" si="9"/>
        <v/>
      </c>
      <c r="J13" s="554">
        <f t="shared" si="10"/>
        <v>-993</v>
      </c>
      <c r="K13" s="526">
        <f t="shared" si="11"/>
        <v>7</v>
      </c>
      <c r="L13" s="573" t="s">
        <v>187</v>
      </c>
      <c r="M13" s="556"/>
      <c r="N13" s="557" t="s">
        <v>168</v>
      </c>
      <c r="O13" s="558"/>
      <c r="P13" s="559"/>
      <c r="Q13" s="560" t="s">
        <v>148</v>
      </c>
      <c r="R13" s="539">
        <f>(IF(COUNT(Z13,AA13,AB13,AC13,AD13,AE13,AF13,AG13,AH13,AI13)&lt;10,SUM(Z13,AA13,AB13,AC13,AD13,AE13,AF13,AG13,AH13,AI13),SUM(LARGE((Z13,AA13,AB13,AC13,AD13,AE13,AF13,AG13,AH13,AI13),{1;2;3;4;5;6;7;8;9}))))</f>
        <v>152</v>
      </c>
      <c r="S13" s="561" t="str">
        <f>INDEX([1]ETAPP!B$1:B$32,MATCH(COUNTIF(BI13:BR13,1),[1]ETAPP!A$1:A$32,0))&amp;INDEX([1]ETAPP!B$1:B$32,MATCH(COUNTIF(BI13:BR13,2),[1]ETAPP!A$1:A$32,0))&amp;INDEX([1]ETAPP!B$1:B$32,MATCH(COUNTIF(BI13:BR13,3),[1]ETAPP!A$1:A$32,0))&amp;INDEX([1]ETAPP!B$1:B$32,MATCH(COUNTIF(BI13:BR13,4),[1]ETAPP!A$1:A$32,0))&amp;INDEX([1]ETAPP!B$1:B$32,MATCH(COUNTIF(BI13:BR13,5),[1]ETAPP!A$1:A$32,0))&amp;INDEX([1]ETAPP!B$1:B$32,MATCH(COUNTIF(BI13:BR13,6),[1]ETAPP!A$1:A$32,0))&amp;INDEX([1]ETAPP!B$1:B$32,MATCH(COUNTIF(BI13:BR13,7),[1]ETAPP!A$1:A$32,0))&amp;INDEX([1]ETAPP!B$1:B$32,MATCH(COUNTIF(BI13:BR13,8),[1]ETAPP!A$1:A$32,0))&amp;INDEX([1]ETAPP!B$1:B$32,MATCH(COUNTIF(BI13:BR13,9),[1]ETAPP!A$1:A$32,0))&amp;INDEX([1]ETAPP!B$1:B$32,MATCH(COUNTIF(BI13:BR13,10),[1]ETAPP!A$1:A$32,0))&amp;INDEX([1]ETAPP!B$1:B$32,MATCH(COUNTIF(BI13:BR13,11),[1]ETAPP!A$1:A$32,0))&amp;INDEX([1]ETAPP!B$1:B$32,MATCH(COUNTIF(BI13:BR13,12),[1]ETAPP!A$1:A$32,0))&amp;INDEX([1]ETAPP!B$1:B$32,MATCH(COUNTIF(BI13:BR13,13),[1]ETAPP!A$1:A$32,0))&amp;INDEX([1]ETAPP!B$1:B$32,MATCH(COUNTIF(BI13:BR13,14),[1]ETAPP!A$1:A$32,0))&amp;INDEX([1]ETAPP!B$1:B$32,MATCH(COUNTIF(BI13:BR13,15),[1]ETAPP!A$1:A$32,0))&amp;INDEX([1]ETAPP!B$1:B$32,MATCH(COUNTIF(BI13:BR13,16),[1]ETAPP!A$1:A$32,0))&amp;INDEX([1]ETAPP!B$1:B$32,MATCH(COUNTIF(BI13:BR13,17),[1]ETAPP!A$1:A$32,0))&amp;INDEX([1]ETAPP!B$1:B$32,MATCH(COUNTIF(BI13:BR13,18),[1]ETAPP!A$1:A$32,0))&amp;INDEX([1]ETAPP!B$1:B$32,MATCH(COUNTIF(BI13:BR13,19),[1]ETAPP!A$1:A$32,0))&amp;INDEX([1]ETAPP!B$1:B$32,MATCH(COUNTIF(BI13:BR13,20),[1]ETAPP!A$1:A$32,0))&amp;INDEX([1]ETAPP!B$1:B$32,MATCH(COUNTIF(BI13:BR13,21),[1]ETAPP!A$1:A$32,0))</f>
        <v>0AAA0BAAB000000000000</v>
      </c>
      <c r="T13" s="561" t="str">
        <f t="shared" si="12"/>
        <v>152,0-0AAA0BAAB000000000000</v>
      </c>
      <c r="U13" s="561">
        <f t="shared" si="13"/>
        <v>7</v>
      </c>
      <c r="V13" s="561">
        <f t="shared" si="14"/>
        <v>106</v>
      </c>
      <c r="W13" s="561" t="str">
        <f t="shared" si="15"/>
        <v>152,0-0AAA0BAAB000000000000-106</v>
      </c>
      <c r="X13" s="561">
        <f t="shared" si="16"/>
        <v>7</v>
      </c>
      <c r="Y13" s="562">
        <f t="shared" si="17"/>
        <v>108</v>
      </c>
      <c r="Z13" s="563">
        <f>IFERROR(INDEX('V1'!C$300:C$400,MATCH("*"&amp;L13&amp;"*",'V1'!B$300:B$400,0)),"  ")</f>
        <v>10</v>
      </c>
      <c r="AA13" s="563" t="str">
        <f>IFERROR(INDEX('V2'!C$300:C$400,MATCH("*"&amp;L13&amp;"*",'V2'!B$300:B$400,0)),"  ")</f>
        <v xml:space="preserve">  </v>
      </c>
      <c r="AB13" s="563">
        <f>IFERROR(INDEX('V3'!C$300:C$400,MATCH("*"&amp;L13&amp;"*",'V3'!B$300:B$400,0)),"  ")</f>
        <v>14</v>
      </c>
      <c r="AC13" s="563">
        <f>IFERROR(INDEX('V4'!C$300:C$400,MATCH("*"&amp;L13&amp;"*",'V4'!B$300:B$400,0)),"  ")</f>
        <v>22</v>
      </c>
      <c r="AD13" s="563">
        <f>IFERROR(INDEX('V5'!C$300:C$400,MATCH("*"&amp;L13&amp;"*",'V5'!B$300:B$400,0)),"  ")</f>
        <v>32</v>
      </c>
      <c r="AE13" s="563">
        <f>IFERROR(INDEX('V6'!C$300:C$400,MATCH("*"&amp;L13&amp;"*",'V6'!B$300:B$400,0)),"  ")</f>
        <v>22</v>
      </c>
      <c r="AF13" s="563">
        <f>IFERROR(INDEX('V7'!C$300:C$400,MATCH("*"&amp;L13&amp;"*",'V7'!B$300:B$400,0)),"  ")</f>
        <v>10</v>
      </c>
      <c r="AG13" s="563">
        <f>IFERROR(INDEX('V8'!C$300:C$400,MATCH("*"&amp;L13&amp;"*",'V8'!B$300:B$400,0)),"  ")</f>
        <v>6</v>
      </c>
      <c r="AH13" s="563">
        <f>IFERROR(INDEX('V9'!C$300:C$400,MATCH("*"&amp;L13&amp;"*",'V9'!B$300:B$400,0)),"  ")</f>
        <v>26</v>
      </c>
      <c r="AI13" s="563">
        <f>IFERROR(INDEX('V10'!C$300:C$400,MATCH("*"&amp;L13&amp;"*",'V10'!B$300:B$400,0)),"  ")</f>
        <v>10</v>
      </c>
      <c r="AJ13" s="564">
        <f t="shared" si="18"/>
        <v>7</v>
      </c>
      <c r="AK13" s="565">
        <f t="shared" si="19"/>
        <v>152</v>
      </c>
      <c r="AL13" s="566" t="str">
        <f t="shared" si="20"/>
        <v>edasi 7</v>
      </c>
      <c r="AM13" s="567" t="str">
        <f>IFERROR(INDEX(#REF!,MATCH("*"&amp;L13&amp;"*",#REF!,0)),"  ")</f>
        <v xml:space="preserve">  </v>
      </c>
      <c r="AN13" s="568">
        <f t="shared" si="21"/>
        <v>9</v>
      </c>
      <c r="AO13" s="469">
        <f t="shared" si="22"/>
        <v>2</v>
      </c>
      <c r="AP13" s="469">
        <f t="shared" si="23"/>
        <v>0</v>
      </c>
      <c r="AQ13" s="569"/>
      <c r="AR13" s="569"/>
      <c r="AS13" s="569"/>
      <c r="AT13" s="570">
        <f t="shared" si="24"/>
        <v>2.0000000000000001E-4</v>
      </c>
      <c r="AU13" s="571">
        <f t="shared" si="25"/>
        <v>10.0001</v>
      </c>
      <c r="AV13" s="571">
        <f t="shared" si="26"/>
        <v>2.0000000000000001E-4</v>
      </c>
      <c r="AW13" s="571">
        <f t="shared" si="27"/>
        <v>14.000299999999999</v>
      </c>
      <c r="AX13" s="571">
        <f t="shared" si="28"/>
        <v>22.000399999999999</v>
      </c>
      <c r="AY13" s="571">
        <f t="shared" si="29"/>
        <v>32.000500000000002</v>
      </c>
      <c r="AZ13" s="571">
        <f t="shared" si="30"/>
        <v>22.000599999999999</v>
      </c>
      <c r="BA13" s="571">
        <f t="shared" si="31"/>
        <v>10.0007</v>
      </c>
      <c r="BB13" s="571">
        <f t="shared" si="32"/>
        <v>6.0007999999999999</v>
      </c>
      <c r="BC13" s="571">
        <f t="shared" si="33"/>
        <v>26.000900000000001</v>
      </c>
      <c r="BD13" s="571">
        <f t="shared" si="34"/>
        <v>10.000999999999999</v>
      </c>
      <c r="BE13" s="569"/>
      <c r="BF13" s="569"/>
      <c r="BG13" s="569"/>
      <c r="BH13" s="569"/>
      <c r="BI13" s="377">
        <f t="shared" si="35"/>
        <v>9</v>
      </c>
      <c r="BJ13" s="377" t="e">
        <f t="shared" si="36"/>
        <v>#VALUE!</v>
      </c>
      <c r="BK13" s="377">
        <f t="shared" si="37"/>
        <v>9</v>
      </c>
      <c r="BL13" s="377">
        <f t="shared" si="38"/>
        <v>4</v>
      </c>
      <c r="BM13" s="377">
        <f t="shared" si="39"/>
        <v>3</v>
      </c>
      <c r="BN13" s="377">
        <f t="shared" si="40"/>
        <v>6</v>
      </c>
      <c r="BO13" s="377">
        <f t="shared" si="41"/>
        <v>6</v>
      </c>
      <c r="BP13" s="377">
        <f t="shared" si="42"/>
        <v>7</v>
      </c>
      <c r="BQ13" s="377">
        <f t="shared" si="43"/>
        <v>2</v>
      </c>
      <c r="BR13" s="377">
        <f t="shared" si="44"/>
        <v>8</v>
      </c>
    </row>
    <row r="14" spans="1:70" x14ac:dyDescent="0.2">
      <c r="A14" s="484">
        <f t="shared" si="1"/>
        <v>8</v>
      </c>
      <c r="B14" s="485">
        <f t="shared" si="2"/>
        <v>8</v>
      </c>
      <c r="C14" s="486">
        <f t="shared" si="3"/>
        <v>3</v>
      </c>
      <c r="D14" s="487">
        <f t="shared" si="4"/>
        <v>8</v>
      </c>
      <c r="E14" s="488">
        <f t="shared" si="5"/>
        <v>8</v>
      </c>
      <c r="F14" s="489">
        <f t="shared" si="6"/>
        <v>8</v>
      </c>
      <c r="G14" s="490" t="str">
        <f t="shared" si="7"/>
        <v/>
      </c>
      <c r="H14" s="489">
        <f t="shared" si="8"/>
        <v>-992</v>
      </c>
      <c r="I14" s="491" t="str">
        <f t="shared" si="9"/>
        <v/>
      </c>
      <c r="J14" s="554">
        <f t="shared" si="10"/>
        <v>-992</v>
      </c>
      <c r="K14" s="526">
        <f t="shared" si="11"/>
        <v>8</v>
      </c>
      <c r="L14" s="555" t="s">
        <v>193</v>
      </c>
      <c r="M14" s="556"/>
      <c r="N14" s="557" t="str">
        <f>IF(M14="","m","")</f>
        <v>m</v>
      </c>
      <c r="O14" s="558"/>
      <c r="P14" s="559" t="s">
        <v>269</v>
      </c>
      <c r="Q14" s="560" t="s">
        <v>148</v>
      </c>
      <c r="R14" s="539">
        <f>(IF(COUNT(Z14,AA14,AB14,AC14,AD14,AE14,AF14,AG14,AH14,AI14)&lt;10,SUM(Z14,AA14,AB14,AC14,AD14,AE14,AF14,AG14,AH14,AI14),SUM(LARGE((Z14,AA14,AB14,AC14,AD14,AE14,AF14,AG14,AH14,AI14),{1;2;3;4;5;6;7;8;9}))))</f>
        <v>150</v>
      </c>
      <c r="S14" s="561" t="str">
        <f>INDEX([1]ETAPP!B$1:B$32,MATCH(COUNTIF(BI14:BR14,1),[1]ETAPP!A$1:A$32,0))&amp;INDEX([1]ETAPP!B$1:B$32,MATCH(COUNTIF(BI14:BR14,2),[1]ETAPP!A$1:A$32,0))&amp;INDEX([1]ETAPP!B$1:B$32,MATCH(COUNTIF(BI14:BR14,3),[1]ETAPP!A$1:A$32,0))&amp;INDEX([1]ETAPP!B$1:B$32,MATCH(COUNTIF(BI14:BR14,4),[1]ETAPP!A$1:A$32,0))&amp;INDEX([1]ETAPP!B$1:B$32,MATCH(COUNTIF(BI14:BR14,5),[1]ETAPP!A$1:A$32,0))&amp;INDEX([1]ETAPP!B$1:B$32,MATCH(COUNTIF(BI14:BR14,6),[1]ETAPP!A$1:A$32,0))&amp;INDEX([1]ETAPP!B$1:B$32,MATCH(COUNTIF(BI14:BR14,7),[1]ETAPP!A$1:A$32,0))&amp;INDEX([1]ETAPP!B$1:B$32,MATCH(COUNTIF(BI14:BR14,8),[1]ETAPP!A$1:A$32,0))&amp;INDEX([1]ETAPP!B$1:B$32,MATCH(COUNTIF(BI14:BR14,9),[1]ETAPP!A$1:A$32,0))&amp;INDEX([1]ETAPP!B$1:B$32,MATCH(COUNTIF(BI14:BR14,10),[1]ETAPP!A$1:A$32,0))&amp;INDEX([1]ETAPP!B$1:B$32,MATCH(COUNTIF(BI14:BR14,11),[1]ETAPP!A$1:A$32,0))&amp;INDEX([1]ETAPP!B$1:B$32,MATCH(COUNTIF(BI14:BR14,12),[1]ETAPP!A$1:A$32,0))&amp;INDEX([1]ETAPP!B$1:B$32,MATCH(COUNTIF(BI14:BR14,13),[1]ETAPP!A$1:A$32,0))&amp;INDEX([1]ETAPP!B$1:B$32,MATCH(COUNTIF(BI14:BR14,14),[1]ETAPP!A$1:A$32,0))&amp;INDEX([1]ETAPP!B$1:B$32,MATCH(COUNTIF(BI14:BR14,15),[1]ETAPP!A$1:A$32,0))&amp;INDEX([1]ETAPP!B$1:B$32,MATCH(COUNTIF(BI14:BR14,16),[1]ETAPP!A$1:A$32,0))&amp;INDEX([1]ETAPP!B$1:B$32,MATCH(COUNTIF(BI14:BR14,17),[1]ETAPP!A$1:A$32,0))&amp;INDEX([1]ETAPP!B$1:B$32,MATCH(COUNTIF(BI14:BR14,18),[1]ETAPP!A$1:A$32,0))&amp;INDEX([1]ETAPP!B$1:B$32,MATCH(COUNTIF(BI14:BR14,19),[1]ETAPP!A$1:A$32,0))&amp;INDEX([1]ETAPP!B$1:B$32,MATCH(COUNTIF(BI14:BR14,20),[1]ETAPP!A$1:A$32,0))&amp;INDEX([1]ETAPP!B$1:B$32,MATCH(COUNTIF(BI14:BR14,21),[1]ETAPP!A$1:A$32,0))</f>
        <v>0AAA0A0AC000000000000</v>
      </c>
      <c r="T14" s="561" t="str">
        <f t="shared" si="12"/>
        <v>150,0-0AAA0A0AC000000000000</v>
      </c>
      <c r="U14" s="561">
        <f t="shared" si="13"/>
        <v>8</v>
      </c>
      <c r="V14" s="561">
        <f t="shared" si="14"/>
        <v>89</v>
      </c>
      <c r="W14" s="561" t="str">
        <f t="shared" si="15"/>
        <v>150,0-0AAA0A0AC000000000000-089</v>
      </c>
      <c r="X14" s="561">
        <f t="shared" si="16"/>
        <v>8</v>
      </c>
      <c r="Y14" s="562">
        <f t="shared" si="17"/>
        <v>107</v>
      </c>
      <c r="Z14" s="563">
        <f>IFERROR(INDEX('V1'!C$300:C$400,MATCH("*"&amp;L14&amp;"*",'V1'!B$300:B$400,0)),"  ")</f>
        <v>10</v>
      </c>
      <c r="AA14" s="563">
        <f>IFERROR(INDEX('V2'!C$300:C$400,MATCH("*"&amp;L14&amp;"*",'V2'!B$300:B$400,0)),"  ")</f>
        <v>14</v>
      </c>
      <c r="AB14" s="563">
        <f>IFERROR(INDEX('V3'!C$300:C$400,MATCH("*"&amp;L14&amp;"*",'V3'!B$300:B$400,0)),"  ")</f>
        <v>14</v>
      </c>
      <c r="AC14" s="563">
        <f>IFERROR(INDEX('V4'!C$300:C$400,MATCH("*"&amp;L14&amp;"*",'V4'!B$300:B$400,0)),"  ")</f>
        <v>22</v>
      </c>
      <c r="AD14" s="563">
        <f>IFERROR(INDEX('V5'!C$300:C$400,MATCH("*"&amp;L14&amp;"*",'V5'!B$300:B$400,0)),"  ")</f>
        <v>32</v>
      </c>
      <c r="AE14" s="563">
        <f>IFERROR(INDEX('V6'!C$300:C$400,MATCH("*"&amp;L14&amp;"*",'V6'!B$300:B$400,0)),"  ")</f>
        <v>22</v>
      </c>
      <c r="AF14" s="563" t="str">
        <f>IFERROR(INDEX('V7'!C$300:C$400,MATCH("*"&amp;L14&amp;"*",'V7'!B$300:B$400,0)),"  ")</f>
        <v xml:space="preserve">  </v>
      </c>
      <c r="AG14" s="563" t="str">
        <f>IFERROR(INDEX('V8'!C$300:C$400,MATCH("*"&amp;L14&amp;"*",'V8'!B$300:B$400,0)),"  ")</f>
        <v xml:space="preserve">  </v>
      </c>
      <c r="AH14" s="563">
        <f>IFERROR(INDEX('V9'!C$300:C$400,MATCH("*"&amp;L14&amp;"*",'V9'!B$300:B$400,0)),"  ")</f>
        <v>26</v>
      </c>
      <c r="AI14" s="563">
        <f>IFERROR(INDEX('V10'!C$300:C$400,MATCH("*"&amp;L14&amp;"*",'V10'!B$300:B$400,0)),"  ")</f>
        <v>10</v>
      </c>
      <c r="AJ14" s="564">
        <f t="shared" si="18"/>
        <v>8</v>
      </c>
      <c r="AK14" s="565">
        <f t="shared" si="19"/>
        <v>150</v>
      </c>
      <c r="AL14" s="566" t="str">
        <f t="shared" si="20"/>
        <v>edasi 8</v>
      </c>
      <c r="AM14" s="567" t="str">
        <f>IFERROR(INDEX(#REF!,MATCH("*"&amp;L14&amp;"*",#REF!,0)),"  ")</f>
        <v xml:space="preserve">  </v>
      </c>
      <c r="AN14" s="568">
        <f t="shared" si="21"/>
        <v>8</v>
      </c>
      <c r="AO14" s="469">
        <f t="shared" si="22"/>
        <v>2</v>
      </c>
      <c r="AP14" s="469">
        <f t="shared" si="23"/>
        <v>0</v>
      </c>
      <c r="AQ14" s="569"/>
      <c r="AR14" s="569"/>
      <c r="AS14" s="569"/>
      <c r="AT14" s="570">
        <f t="shared" si="24"/>
        <v>6.9999999999999999E-4</v>
      </c>
      <c r="AU14" s="571">
        <f t="shared" si="25"/>
        <v>10.0001</v>
      </c>
      <c r="AV14" s="571">
        <f t="shared" si="26"/>
        <v>14.0002</v>
      </c>
      <c r="AW14" s="571">
        <f t="shared" si="27"/>
        <v>14.000299999999999</v>
      </c>
      <c r="AX14" s="571">
        <f t="shared" si="28"/>
        <v>22.000399999999999</v>
      </c>
      <c r="AY14" s="571">
        <f t="shared" si="29"/>
        <v>32.000500000000002</v>
      </c>
      <c r="AZ14" s="571">
        <f t="shared" si="30"/>
        <v>22.000599999999999</v>
      </c>
      <c r="BA14" s="571">
        <f t="shared" si="31"/>
        <v>6.9999999999999999E-4</v>
      </c>
      <c r="BB14" s="571">
        <f t="shared" si="32"/>
        <v>8.0000000000000004E-4</v>
      </c>
      <c r="BC14" s="571">
        <f t="shared" si="33"/>
        <v>26.000900000000001</v>
      </c>
      <c r="BD14" s="571">
        <f t="shared" si="34"/>
        <v>10.000999999999999</v>
      </c>
      <c r="BE14" s="569"/>
      <c r="BF14" s="569"/>
      <c r="BG14" s="569"/>
      <c r="BH14" s="569"/>
      <c r="BI14" s="377">
        <f t="shared" si="35"/>
        <v>9</v>
      </c>
      <c r="BJ14" s="377">
        <f t="shared" si="36"/>
        <v>9</v>
      </c>
      <c r="BK14" s="377">
        <f t="shared" si="37"/>
        <v>9</v>
      </c>
      <c r="BL14" s="377">
        <f t="shared" si="38"/>
        <v>4</v>
      </c>
      <c r="BM14" s="377">
        <f t="shared" si="39"/>
        <v>3</v>
      </c>
      <c r="BN14" s="377">
        <f t="shared" si="40"/>
        <v>6</v>
      </c>
      <c r="BO14" s="377" t="e">
        <f t="shared" si="41"/>
        <v>#VALUE!</v>
      </c>
      <c r="BP14" s="377" t="e">
        <f t="shared" si="42"/>
        <v>#VALUE!</v>
      </c>
      <c r="BQ14" s="377">
        <f t="shared" si="43"/>
        <v>2</v>
      </c>
      <c r="BR14" s="377">
        <f t="shared" si="44"/>
        <v>8</v>
      </c>
    </row>
    <row r="15" spans="1:70" x14ac:dyDescent="0.2">
      <c r="A15" s="484" t="str">
        <f t="shared" si="1"/>
        <v/>
      </c>
      <c r="B15" s="485">
        <f t="shared" si="2"/>
        <v>-991</v>
      </c>
      <c r="C15" s="486" t="str">
        <f t="shared" si="3"/>
        <v/>
      </c>
      <c r="D15" s="487">
        <f t="shared" si="4"/>
        <v>-991</v>
      </c>
      <c r="E15" s="488">
        <f t="shared" si="5"/>
        <v>9</v>
      </c>
      <c r="F15" s="489">
        <f t="shared" si="6"/>
        <v>9</v>
      </c>
      <c r="G15" s="490" t="str">
        <f t="shared" si="7"/>
        <v/>
      </c>
      <c r="H15" s="489">
        <f t="shared" si="8"/>
        <v>-991</v>
      </c>
      <c r="I15" s="491" t="str">
        <f t="shared" si="9"/>
        <v/>
      </c>
      <c r="J15" s="554">
        <f t="shared" si="10"/>
        <v>-991</v>
      </c>
      <c r="K15" s="526">
        <f t="shared" si="11"/>
        <v>9</v>
      </c>
      <c r="L15" s="555" t="s">
        <v>181</v>
      </c>
      <c r="M15" s="556"/>
      <c r="N15" s="557" t="s">
        <v>168</v>
      </c>
      <c r="O15" s="558"/>
      <c r="P15" s="559"/>
      <c r="Q15" s="560" t="s">
        <v>268</v>
      </c>
      <c r="R15" s="539">
        <f>(IF(COUNT(Z15,AA15,AB15,AC15,AD15,AE15,AF15,AG15,AH15,AI15)&lt;10,SUM(Z15,AA15,AB15,AC15,AD15,AE15,AF15,AG15,AH15,AI15),SUM(LARGE((Z15,AA15,AB15,AC15,AD15,AE15,AF15,AG15,AH15,AI15),{1;2;3;4;5;6;7;8;9}))))</f>
        <v>142</v>
      </c>
      <c r="S15" s="561" t="str">
        <f>INDEX([1]ETAPP!B$1:B$32,MATCH(COUNTIF(BI15:BR15,1),[1]ETAPP!A$1:A$32,0))&amp;INDEX([1]ETAPP!B$1:B$32,MATCH(COUNTIF(BI15:BR15,2),[1]ETAPP!A$1:A$32,0))&amp;INDEX([1]ETAPP!B$1:B$32,MATCH(COUNTIF(BI15:BR15,3),[1]ETAPP!A$1:A$32,0))&amp;INDEX([1]ETAPP!B$1:B$32,MATCH(COUNTIF(BI15:BR15,4),[1]ETAPP!A$1:A$32,0))&amp;INDEX([1]ETAPP!B$1:B$32,MATCH(COUNTIF(BI15:BR15,5),[1]ETAPP!A$1:A$32,0))&amp;INDEX([1]ETAPP!B$1:B$32,MATCH(COUNTIF(BI15:BR15,6),[1]ETAPP!A$1:A$32,0))&amp;INDEX([1]ETAPP!B$1:B$32,MATCH(COUNTIF(BI15:BR15,7),[1]ETAPP!A$1:A$32,0))&amp;INDEX([1]ETAPP!B$1:B$32,MATCH(COUNTIF(BI15:BR15,8),[1]ETAPP!A$1:A$32,0))&amp;INDEX([1]ETAPP!B$1:B$32,MATCH(COUNTIF(BI15:BR15,9),[1]ETAPP!A$1:A$32,0))&amp;INDEX([1]ETAPP!B$1:B$32,MATCH(COUNTIF(BI15:BR15,10),[1]ETAPP!A$1:A$32,0))&amp;INDEX([1]ETAPP!B$1:B$32,MATCH(COUNTIF(BI15:BR15,11),[1]ETAPP!A$1:A$32,0))&amp;INDEX([1]ETAPP!B$1:B$32,MATCH(COUNTIF(BI15:BR15,12),[1]ETAPP!A$1:A$32,0))&amp;INDEX([1]ETAPP!B$1:B$32,MATCH(COUNTIF(BI15:BR15,13),[1]ETAPP!A$1:A$32,0))&amp;INDEX([1]ETAPP!B$1:B$32,MATCH(COUNTIF(BI15:BR15,14),[1]ETAPP!A$1:A$32,0))&amp;INDEX([1]ETAPP!B$1:B$32,MATCH(COUNTIF(BI15:BR15,15),[1]ETAPP!A$1:A$32,0))&amp;INDEX([1]ETAPP!B$1:B$32,MATCH(COUNTIF(BI15:BR15,16),[1]ETAPP!A$1:A$32,0))&amp;INDEX([1]ETAPP!B$1:B$32,MATCH(COUNTIF(BI15:BR15,17),[1]ETAPP!A$1:A$32,0))&amp;INDEX([1]ETAPP!B$1:B$32,MATCH(COUNTIF(BI15:BR15,18),[1]ETAPP!A$1:A$32,0))&amp;INDEX([1]ETAPP!B$1:B$32,MATCH(COUNTIF(BI15:BR15,19),[1]ETAPP!A$1:A$32,0))&amp;INDEX([1]ETAPP!B$1:B$32,MATCH(COUNTIF(BI15:BR15,20),[1]ETAPP!A$1:A$32,0))&amp;INDEX([1]ETAPP!B$1:B$32,MATCH(COUNTIF(BI15:BR15,21),[1]ETAPP!A$1:A$32,0))</f>
        <v>A00C000BA000000000000</v>
      </c>
      <c r="T15" s="561" t="str">
        <f t="shared" si="12"/>
        <v>142,0-A00C000BA000000000000</v>
      </c>
      <c r="U15" s="561">
        <f t="shared" si="13"/>
        <v>9</v>
      </c>
      <c r="V15" s="561">
        <f t="shared" si="14"/>
        <v>41</v>
      </c>
      <c r="W15" s="561" t="str">
        <f t="shared" si="15"/>
        <v>142,0-A00C000BA000000000000-041</v>
      </c>
      <c r="X15" s="561">
        <f t="shared" si="16"/>
        <v>9</v>
      </c>
      <c r="Y15" s="562">
        <f t="shared" si="17"/>
        <v>106</v>
      </c>
      <c r="Z15" s="563">
        <f>IFERROR(INDEX('V1'!C$300:C$400,MATCH("*"&amp;L15&amp;"*",'V1'!B$300:B$400,0)),"  ")</f>
        <v>20</v>
      </c>
      <c r="AA15" s="563" t="str">
        <f>IFERROR(INDEX('V2'!C$300:C$400,MATCH("*"&amp;L15&amp;"*",'V2'!B$300:B$400,0)),"  ")</f>
        <v xml:space="preserve">  </v>
      </c>
      <c r="AB15" s="563">
        <f>IFERROR(INDEX('V3'!C$300:C$400,MATCH("*"&amp;L15&amp;"*",'V3'!B$300:B$400,0)),"  ")</f>
        <v>16</v>
      </c>
      <c r="AC15" s="563">
        <f>IFERROR(INDEX('V4'!C$300:C$400,MATCH("*"&amp;L15&amp;"*",'V4'!B$300:B$400,0)),"  ")</f>
        <v>14</v>
      </c>
      <c r="AD15" s="563">
        <f>IFERROR(INDEX('V5'!C$300:C$400,MATCH("*"&amp;L15&amp;"*",'V5'!B$300:B$400,0)),"  ")</f>
        <v>30</v>
      </c>
      <c r="AE15" s="563">
        <f>IFERROR(INDEX('V6'!C$300:C$400,MATCH("*"&amp;L15&amp;"*",'V6'!B$300:B$400,0)),"  ")</f>
        <v>16</v>
      </c>
      <c r="AF15" s="563" t="str">
        <f>IFERROR(INDEX('V7'!C$300:C$400,MATCH("*"&amp;L15&amp;"*",'V7'!B$300:B$400,0)),"  ")</f>
        <v xml:space="preserve">  </v>
      </c>
      <c r="AG15" s="563" t="str">
        <f>IFERROR(INDEX('V8'!C$300:C$400,MATCH("*"&amp;L15&amp;"*",'V8'!B$300:B$400,0)),"  ")</f>
        <v xml:space="preserve">  </v>
      </c>
      <c r="AH15" s="563">
        <f>IFERROR(INDEX('V9'!C$300:C$400,MATCH("*"&amp;L15&amp;"*",'V9'!B$300:B$400,0)),"  ")</f>
        <v>22</v>
      </c>
      <c r="AI15" s="563">
        <f>IFERROR(INDEX('V10'!C$300:C$400,MATCH("*"&amp;L15&amp;"*",'V10'!B$300:B$400,0)),"  ")</f>
        <v>24</v>
      </c>
      <c r="AJ15" s="564">
        <f t="shared" si="18"/>
        <v>9</v>
      </c>
      <c r="AK15" s="565">
        <f t="shared" si="19"/>
        <v>142</v>
      </c>
      <c r="AL15" s="566" t="str">
        <f t="shared" si="20"/>
        <v>edasi 9</v>
      </c>
      <c r="AM15" s="567" t="str">
        <f>IFERROR(INDEX(#REF!,MATCH("*"&amp;L15&amp;"*",#REF!,0)),"  ")</f>
        <v xml:space="preserve">  </v>
      </c>
      <c r="AN15" s="568">
        <f t="shared" si="21"/>
        <v>7</v>
      </c>
      <c r="AO15" s="469">
        <f t="shared" si="22"/>
        <v>1</v>
      </c>
      <c r="AP15" s="469">
        <f t="shared" si="23"/>
        <v>1</v>
      </c>
      <c r="AQ15" s="569"/>
      <c r="AR15" s="569"/>
      <c r="AS15" s="569"/>
      <c r="AT15" s="570">
        <f t="shared" si="24"/>
        <v>2.0000000000000001E-4</v>
      </c>
      <c r="AU15" s="571">
        <f t="shared" si="25"/>
        <v>20.0001</v>
      </c>
      <c r="AV15" s="571">
        <f t="shared" si="26"/>
        <v>2.0000000000000001E-4</v>
      </c>
      <c r="AW15" s="571">
        <f t="shared" si="27"/>
        <v>16.000299999999999</v>
      </c>
      <c r="AX15" s="571">
        <f t="shared" si="28"/>
        <v>14.000400000000001</v>
      </c>
      <c r="AY15" s="571">
        <f t="shared" si="29"/>
        <v>30.000499999999999</v>
      </c>
      <c r="AZ15" s="571">
        <f t="shared" si="30"/>
        <v>16.000599999999999</v>
      </c>
      <c r="BA15" s="571">
        <f t="shared" si="31"/>
        <v>6.9999999999999999E-4</v>
      </c>
      <c r="BB15" s="571">
        <f t="shared" si="32"/>
        <v>8.0000000000000004E-4</v>
      </c>
      <c r="BC15" s="571">
        <f t="shared" si="33"/>
        <v>22.000900000000001</v>
      </c>
      <c r="BD15" s="571">
        <f t="shared" si="34"/>
        <v>24.001000000000001</v>
      </c>
      <c r="BE15" s="569"/>
      <c r="BF15" s="569"/>
      <c r="BG15" s="569"/>
      <c r="BH15" s="569"/>
      <c r="BI15" s="377">
        <f t="shared" si="35"/>
        <v>4</v>
      </c>
      <c r="BJ15" s="377" t="e">
        <f t="shared" si="36"/>
        <v>#VALUE!</v>
      </c>
      <c r="BK15" s="377">
        <f t="shared" si="37"/>
        <v>8</v>
      </c>
      <c r="BL15" s="377">
        <f t="shared" si="38"/>
        <v>8</v>
      </c>
      <c r="BM15" s="377">
        <f t="shared" si="39"/>
        <v>4</v>
      </c>
      <c r="BN15" s="377">
        <f t="shared" si="40"/>
        <v>9</v>
      </c>
      <c r="BO15" s="377" t="e">
        <f t="shared" si="41"/>
        <v>#VALUE!</v>
      </c>
      <c r="BP15" s="377" t="e">
        <f t="shared" si="42"/>
        <v>#VALUE!</v>
      </c>
      <c r="BQ15" s="377">
        <f t="shared" si="43"/>
        <v>4</v>
      </c>
      <c r="BR15" s="377">
        <f t="shared" si="44"/>
        <v>1</v>
      </c>
    </row>
    <row r="16" spans="1:70" x14ac:dyDescent="0.2">
      <c r="A16" s="484">
        <f t="shared" si="1"/>
        <v>9</v>
      </c>
      <c r="B16" s="485">
        <f t="shared" si="2"/>
        <v>10</v>
      </c>
      <c r="C16" s="486" t="str">
        <f t="shared" si="3"/>
        <v/>
      </c>
      <c r="D16" s="487">
        <f t="shared" si="4"/>
        <v>-990</v>
      </c>
      <c r="E16" s="488">
        <f t="shared" si="5"/>
        <v>10</v>
      </c>
      <c r="F16" s="489">
        <f t="shared" si="6"/>
        <v>10</v>
      </c>
      <c r="G16" s="490" t="str">
        <f t="shared" si="7"/>
        <v/>
      </c>
      <c r="H16" s="489">
        <f t="shared" si="8"/>
        <v>-990</v>
      </c>
      <c r="I16" s="491" t="str">
        <f t="shared" si="9"/>
        <v/>
      </c>
      <c r="J16" s="554">
        <f t="shared" si="10"/>
        <v>-990</v>
      </c>
      <c r="K16" s="526">
        <f t="shared" si="11"/>
        <v>10</v>
      </c>
      <c r="L16" s="555" t="s">
        <v>173</v>
      </c>
      <c r="M16" s="556"/>
      <c r="N16" s="557" t="str">
        <f>IF(M16="","m","")</f>
        <v>m</v>
      </c>
      <c r="O16" s="558"/>
      <c r="P16" s="559"/>
      <c r="Q16" s="560" t="s">
        <v>148</v>
      </c>
      <c r="R16" s="539">
        <f>(IF(COUNT(Z16,AA16,AB16,AC16,AD16,AE16,AF16,AG16,AH16,AI16)&lt;10,SUM(Z16,AA16,AB16,AC16,AD16,AE16,AF16,AG16,AH16,AI16),SUM(LARGE((Z16,AA16,AB16,AC16,AD16,AE16,AF16,AG16,AH16,AI16),{1;2;3;4;5;6;7;8;9}))))</f>
        <v>132</v>
      </c>
      <c r="S16" s="561" t="str">
        <f>INDEX([1]ETAPP!B$1:B$32,MATCH(COUNTIF(BI16:BR16,1),[1]ETAPP!A$1:A$32,0))&amp;INDEX([1]ETAPP!B$1:B$32,MATCH(COUNTIF(BI16:BR16,2),[1]ETAPP!A$1:A$32,0))&amp;INDEX([1]ETAPP!B$1:B$32,MATCH(COUNTIF(BI16:BR16,3),[1]ETAPP!A$1:A$32,0))&amp;INDEX([1]ETAPP!B$1:B$32,MATCH(COUNTIF(BI16:BR16,4),[1]ETAPP!A$1:A$32,0))&amp;INDEX([1]ETAPP!B$1:B$32,MATCH(COUNTIF(BI16:BR16,5),[1]ETAPP!A$1:A$32,0))&amp;INDEX([1]ETAPP!B$1:B$32,MATCH(COUNTIF(BI16:BR16,6),[1]ETAPP!A$1:A$32,0))&amp;INDEX([1]ETAPP!B$1:B$32,MATCH(COUNTIF(BI16:BR16,7),[1]ETAPP!A$1:A$32,0))&amp;INDEX([1]ETAPP!B$1:B$32,MATCH(COUNTIF(BI16:BR16,8),[1]ETAPP!A$1:A$32,0))&amp;INDEX([1]ETAPP!B$1:B$32,MATCH(COUNTIF(BI16:BR16,9),[1]ETAPP!A$1:A$32,0))&amp;INDEX([1]ETAPP!B$1:B$32,MATCH(COUNTIF(BI16:BR16,10),[1]ETAPP!A$1:A$32,0))&amp;INDEX([1]ETAPP!B$1:B$32,MATCH(COUNTIF(BI16:BR16,11),[1]ETAPP!A$1:A$32,0))&amp;INDEX([1]ETAPP!B$1:B$32,MATCH(COUNTIF(BI16:BR16,12),[1]ETAPP!A$1:A$32,0))&amp;INDEX([1]ETAPP!B$1:B$32,MATCH(COUNTIF(BI16:BR16,13),[1]ETAPP!A$1:A$32,0))&amp;INDEX([1]ETAPP!B$1:B$32,MATCH(COUNTIF(BI16:BR16,14),[1]ETAPP!A$1:A$32,0))&amp;INDEX([1]ETAPP!B$1:B$32,MATCH(COUNTIF(BI16:BR16,15),[1]ETAPP!A$1:A$32,0))&amp;INDEX([1]ETAPP!B$1:B$32,MATCH(COUNTIF(BI16:BR16,16),[1]ETAPP!A$1:A$32,0))&amp;INDEX([1]ETAPP!B$1:B$32,MATCH(COUNTIF(BI16:BR16,17),[1]ETAPP!A$1:A$32,0))&amp;INDEX([1]ETAPP!B$1:B$32,MATCH(COUNTIF(BI16:BR16,18),[1]ETAPP!A$1:A$32,0))&amp;INDEX([1]ETAPP!B$1:B$32,MATCH(COUNTIF(BI16:BR16,19),[1]ETAPP!A$1:A$32,0))&amp;INDEX([1]ETAPP!B$1:B$32,MATCH(COUNTIF(BI16:BR16,20),[1]ETAPP!A$1:A$32,0))&amp;INDEX([1]ETAPP!B$1:B$32,MATCH(COUNTIF(BI16:BR16,21),[1]ETAPP!A$1:A$32,0))</f>
        <v>C000A0A000A0BA0000000</v>
      </c>
      <c r="T16" s="561" t="str">
        <f t="shared" si="12"/>
        <v>132,0-C000A0A000A0BA0000000</v>
      </c>
      <c r="U16" s="561">
        <f t="shared" si="13"/>
        <v>10</v>
      </c>
      <c r="V16" s="561">
        <f t="shared" si="14"/>
        <v>105</v>
      </c>
      <c r="W16" s="561" t="str">
        <f t="shared" si="15"/>
        <v>132,0-C000A0A000A0BA0000000-105</v>
      </c>
      <c r="X16" s="561">
        <f t="shared" si="16"/>
        <v>10</v>
      </c>
      <c r="Y16" s="562">
        <f t="shared" si="17"/>
        <v>105</v>
      </c>
      <c r="Z16" s="563" t="str">
        <f>IFERROR(INDEX('V1'!C$300:C$400,MATCH("*"&amp;L16&amp;"*",'V1'!B$300:B$400,0)),"  ")</f>
        <v xml:space="preserve">  </v>
      </c>
      <c r="AA16" s="563">
        <f>IFERROR(INDEX('V2'!C$300:C$400,MATCH("*"&amp;L16&amp;"*",'V2'!B$300:B$400,0)),"  ")</f>
        <v>30</v>
      </c>
      <c r="AB16" s="563">
        <f>IFERROR(INDEX('V3'!C$300:C$400,MATCH("*"&amp;L16&amp;"*",'V3'!B$300:B$400,0)),"  ")</f>
        <v>6</v>
      </c>
      <c r="AC16" s="563">
        <f>IFERROR(INDEX('V4'!C$300:C$400,MATCH("*"&amp;L16&amp;"*",'V4'!B$300:B$400,0)),"  ")</f>
        <v>28</v>
      </c>
      <c r="AD16" s="563">
        <f>IFERROR(INDEX('V5'!C$300:C$400,MATCH("*"&amp;L16&amp;"*",'V5'!B$300:B$400,0)),"  ")</f>
        <v>10</v>
      </c>
      <c r="AE16" s="563">
        <f>IFERROR(INDEX('V6'!C$300:C$400,MATCH("*"&amp;L16&amp;"*",'V6'!B$300:B$400,0)),"  ")</f>
        <v>8</v>
      </c>
      <c r="AF16" s="563">
        <f>IFERROR(INDEX('V7'!C$300:C$400,MATCH("*"&amp;L16&amp;"*",'V7'!B$300:B$400,0)),"  ")</f>
        <v>8</v>
      </c>
      <c r="AG16" s="563">
        <f>IFERROR(INDEX('V8'!C$300:C$400,MATCH("*"&amp;L16&amp;"*",'V8'!B$300:B$400,0)),"  ")</f>
        <v>18</v>
      </c>
      <c r="AH16" s="563">
        <f>IFERROR(INDEX('V9'!C$300:C$400,MATCH("*"&amp;L16&amp;"*",'V9'!B$300:B$400,0)),"  ")</f>
        <v>20</v>
      </c>
      <c r="AI16" s="563">
        <f>IFERROR(INDEX('V10'!C$300:C$400,MATCH("*"&amp;L16&amp;"*",'V10'!B$300:B$400,0)),"  ")</f>
        <v>4</v>
      </c>
      <c r="AJ16" s="564">
        <f t="shared" si="18"/>
        <v>10</v>
      </c>
      <c r="AK16" s="565">
        <f t="shared" si="19"/>
        <v>132</v>
      </c>
      <c r="AL16" s="566" t="str">
        <f t="shared" si="20"/>
        <v>edasi 10</v>
      </c>
      <c r="AM16" s="567" t="str">
        <f>IFERROR(INDEX(#REF!,MATCH("*"&amp;L16&amp;"*",#REF!,0)),"  ")</f>
        <v xml:space="preserve">  </v>
      </c>
      <c r="AN16" s="568">
        <f t="shared" si="21"/>
        <v>9</v>
      </c>
      <c r="AO16" s="469">
        <f t="shared" si="22"/>
        <v>3</v>
      </c>
      <c r="AP16" s="469">
        <f t="shared" si="23"/>
        <v>3</v>
      </c>
      <c r="AQ16" s="569"/>
      <c r="AR16" s="569"/>
      <c r="AS16" s="569"/>
      <c r="AT16" s="570">
        <f t="shared" si="24"/>
        <v>1E-4</v>
      </c>
      <c r="AU16" s="571">
        <f t="shared" si="25"/>
        <v>1E-4</v>
      </c>
      <c r="AV16" s="571">
        <f t="shared" si="26"/>
        <v>30.0002</v>
      </c>
      <c r="AW16" s="571">
        <f t="shared" si="27"/>
        <v>6.0003000000000002</v>
      </c>
      <c r="AX16" s="571">
        <f t="shared" si="28"/>
        <v>28.000399999999999</v>
      </c>
      <c r="AY16" s="571">
        <f t="shared" si="29"/>
        <v>10.000500000000001</v>
      </c>
      <c r="AZ16" s="571">
        <f t="shared" si="30"/>
        <v>8.0006000000000004</v>
      </c>
      <c r="BA16" s="571">
        <f t="shared" si="31"/>
        <v>8.0007000000000001</v>
      </c>
      <c r="BB16" s="571">
        <f t="shared" si="32"/>
        <v>18.000800000000002</v>
      </c>
      <c r="BC16" s="571">
        <f t="shared" si="33"/>
        <v>20.000900000000001</v>
      </c>
      <c r="BD16" s="571">
        <f t="shared" si="34"/>
        <v>4.0010000000000003</v>
      </c>
      <c r="BE16" s="569"/>
      <c r="BF16" s="569"/>
      <c r="BG16" s="569"/>
      <c r="BH16" s="569"/>
      <c r="BI16" s="377" t="e">
        <f t="shared" si="35"/>
        <v>#VALUE!</v>
      </c>
      <c r="BJ16" s="377">
        <f t="shared" si="36"/>
        <v>1</v>
      </c>
      <c r="BK16" s="377">
        <f t="shared" si="37"/>
        <v>13</v>
      </c>
      <c r="BL16" s="377">
        <f t="shared" si="38"/>
        <v>1</v>
      </c>
      <c r="BM16" s="377">
        <f t="shared" si="39"/>
        <v>14</v>
      </c>
      <c r="BN16" s="377">
        <f t="shared" si="40"/>
        <v>13</v>
      </c>
      <c r="BO16" s="377">
        <f t="shared" si="41"/>
        <v>7</v>
      </c>
      <c r="BP16" s="377">
        <f t="shared" si="42"/>
        <v>1</v>
      </c>
      <c r="BQ16" s="377">
        <f t="shared" si="43"/>
        <v>5</v>
      </c>
      <c r="BR16" s="377">
        <f t="shared" si="44"/>
        <v>11</v>
      </c>
    </row>
    <row r="17" spans="1:70" x14ac:dyDescent="0.2">
      <c r="A17" s="484" t="str">
        <f t="shared" si="1"/>
        <v/>
      </c>
      <c r="B17" s="485">
        <f t="shared" si="2"/>
        <v>-989</v>
      </c>
      <c r="C17" s="486" t="str">
        <f t="shared" si="3"/>
        <v/>
      </c>
      <c r="D17" s="487">
        <f t="shared" si="4"/>
        <v>-989</v>
      </c>
      <c r="E17" s="488">
        <f t="shared" si="5"/>
        <v>11</v>
      </c>
      <c r="F17" s="489">
        <f t="shared" si="6"/>
        <v>11</v>
      </c>
      <c r="G17" s="490" t="str">
        <f t="shared" si="7"/>
        <v/>
      </c>
      <c r="H17" s="489">
        <f t="shared" si="8"/>
        <v>-989</v>
      </c>
      <c r="I17" s="491" t="str">
        <f t="shared" si="9"/>
        <v/>
      </c>
      <c r="J17" s="554">
        <f t="shared" si="10"/>
        <v>-989</v>
      </c>
      <c r="K17" s="526">
        <f t="shared" si="11"/>
        <v>11</v>
      </c>
      <c r="L17" s="574" t="s">
        <v>71</v>
      </c>
      <c r="M17" s="575"/>
      <c r="N17" s="576" t="s">
        <v>168</v>
      </c>
      <c r="O17" s="577"/>
      <c r="P17" s="578"/>
      <c r="Q17" s="560" t="s">
        <v>270</v>
      </c>
      <c r="R17" s="539">
        <f>(IF(COUNT(Z17,AA17,AB17,AC17,AD17,AE17,AF17,AG17,AH17,AI17)&lt;10,SUM(Z17,AA17,AB17,AC17,AD17,AE17,AF17,AG17,AH17,AI17),SUM(LARGE((Z17,AA17,AB17,AC17,AD17,AE17,AF17,AG17,AH17,AI17),{1;2;3;4;5;6;7;8;9}))))</f>
        <v>132</v>
      </c>
      <c r="S17" s="561" t="str">
        <f>INDEX([1]ETAPP!B$1:B$32,MATCH(COUNTIF(BI17:BR17,1),[1]ETAPP!A$1:A$32,0))&amp;INDEX([1]ETAPP!B$1:B$32,MATCH(COUNTIF(BI17:BR17,2),[1]ETAPP!A$1:A$32,0))&amp;INDEX([1]ETAPP!B$1:B$32,MATCH(COUNTIF(BI17:BR17,3),[1]ETAPP!A$1:A$32,0))&amp;INDEX([1]ETAPP!B$1:B$32,MATCH(COUNTIF(BI17:BR17,4),[1]ETAPP!A$1:A$32,0))&amp;INDEX([1]ETAPP!B$1:B$32,MATCH(COUNTIF(BI17:BR17,5),[1]ETAPP!A$1:A$32,0))&amp;INDEX([1]ETAPP!B$1:B$32,MATCH(COUNTIF(BI17:BR17,6),[1]ETAPP!A$1:A$32,0))&amp;INDEX([1]ETAPP!B$1:B$32,MATCH(COUNTIF(BI17:BR17,7),[1]ETAPP!A$1:A$32,0))&amp;INDEX([1]ETAPP!B$1:B$32,MATCH(COUNTIF(BI17:BR17,8),[1]ETAPP!A$1:A$32,0))&amp;INDEX([1]ETAPP!B$1:B$32,MATCH(COUNTIF(BI17:BR17,9),[1]ETAPP!A$1:A$32,0))&amp;INDEX([1]ETAPP!B$1:B$32,MATCH(COUNTIF(BI17:BR17,10),[1]ETAPP!A$1:A$32,0))&amp;INDEX([1]ETAPP!B$1:B$32,MATCH(COUNTIF(BI17:BR17,11),[1]ETAPP!A$1:A$32,0))&amp;INDEX([1]ETAPP!B$1:B$32,MATCH(COUNTIF(BI17:BR17,12),[1]ETAPP!A$1:A$32,0))&amp;INDEX([1]ETAPP!B$1:B$32,MATCH(COUNTIF(BI17:BR17,13),[1]ETAPP!A$1:A$32,0))&amp;INDEX([1]ETAPP!B$1:B$32,MATCH(COUNTIF(BI17:BR17,14),[1]ETAPP!A$1:A$32,0))&amp;INDEX([1]ETAPP!B$1:B$32,MATCH(COUNTIF(BI17:BR17,15),[1]ETAPP!A$1:A$32,0))&amp;INDEX([1]ETAPP!B$1:B$32,MATCH(COUNTIF(BI17:BR17,16),[1]ETAPP!A$1:A$32,0))&amp;INDEX([1]ETAPP!B$1:B$32,MATCH(COUNTIF(BI17:BR17,17),[1]ETAPP!A$1:A$32,0))&amp;INDEX([1]ETAPP!B$1:B$32,MATCH(COUNTIF(BI17:BR17,18),[1]ETAPP!A$1:A$32,0))&amp;INDEX([1]ETAPP!B$1:B$32,MATCH(COUNTIF(BI17:BR17,19),[1]ETAPP!A$1:A$32,0))&amp;INDEX([1]ETAPP!B$1:B$32,MATCH(COUNTIF(BI17:BR17,20),[1]ETAPP!A$1:A$32,0))&amp;INDEX([1]ETAPP!B$1:B$32,MATCH(COUNTIF(BI17:BR17,21),[1]ETAPP!A$1:A$32,0))</f>
        <v>AC0A0A000000000000000</v>
      </c>
      <c r="T17" s="561" t="str">
        <f t="shared" si="12"/>
        <v>132,0-AC0A0A000000000000000</v>
      </c>
      <c r="U17" s="561">
        <f t="shared" si="13"/>
        <v>11</v>
      </c>
      <c r="V17" s="561">
        <f t="shared" si="14"/>
        <v>80</v>
      </c>
      <c r="W17" s="561" t="str">
        <f t="shared" si="15"/>
        <v>132,0-AC0A0A000000000000000-080</v>
      </c>
      <c r="X17" s="561">
        <f t="shared" si="16"/>
        <v>11</v>
      </c>
      <c r="Y17" s="562">
        <f t="shared" si="17"/>
        <v>104</v>
      </c>
      <c r="Z17" s="563">
        <f>IFERROR(INDEX('V1'!C$300:C$400,MATCH("*"&amp;L17&amp;"*",'V1'!B$300:B$400,0)),"  ")</f>
        <v>24</v>
      </c>
      <c r="AA17" s="563">
        <f>IFERROR(INDEX('V2'!C$300:C$400,MATCH("*"&amp;L17&amp;"*",'V2'!B$300:B$400,0)),"  ")</f>
        <v>24</v>
      </c>
      <c r="AB17" s="563" t="str">
        <f>IFERROR(INDEX('V3'!C$300:C$400,MATCH("*"&amp;L17&amp;"*",'V3'!B$300:B$400,0)),"  ")</f>
        <v xml:space="preserve">  </v>
      </c>
      <c r="AC17" s="563" t="str">
        <f>IFERROR(INDEX('V4'!C$300:C$400,MATCH("*"&amp;L17&amp;"*",'V4'!B$300:B$400,0)),"  ")</f>
        <v xml:space="preserve">  </v>
      </c>
      <c r="AD17" s="563">
        <f>IFERROR(INDEX('V5'!C$300:C$400,MATCH("*"&amp;L17&amp;"*",'V5'!B$300:B$400,0)),"  ")</f>
        <v>26</v>
      </c>
      <c r="AE17" s="563" t="str">
        <f>IFERROR(INDEX('V6'!C$300:C$400,MATCH("*"&amp;L17&amp;"*",'V6'!B$300:B$400,0)),"  ")</f>
        <v xml:space="preserve">  </v>
      </c>
      <c r="AF17" s="563">
        <f>IFERROR(INDEX('V7'!C$300:C$400,MATCH("*"&amp;L17&amp;"*",'V7'!B$300:B$400,0)),"  ")</f>
        <v>20</v>
      </c>
      <c r="AG17" s="563">
        <f>IFERROR(INDEX('V8'!C$300:C$400,MATCH("*"&amp;L17&amp;"*",'V8'!B$300:B$400,0)),"  ")</f>
        <v>16</v>
      </c>
      <c r="AH17" s="563" t="str">
        <f>IFERROR(INDEX('V9'!C$300:C$400,MATCH("*"&amp;L17&amp;"*",'V9'!B$300:B$400,0)),"  ")</f>
        <v xml:space="preserve">  </v>
      </c>
      <c r="AI17" s="563">
        <f>IFERROR(INDEX('V10'!C$300:C$400,MATCH("*"&amp;L17&amp;"*",'V10'!B$300:B$400,0)),"  ")</f>
        <v>22</v>
      </c>
      <c r="AJ17" s="564">
        <f t="shared" si="18"/>
        <v>11</v>
      </c>
      <c r="AK17" s="565">
        <f t="shared" si="19"/>
        <v>132</v>
      </c>
      <c r="AL17" s="566" t="str">
        <f t="shared" si="20"/>
        <v>edasi 11</v>
      </c>
      <c r="AM17" s="567" t="str">
        <f>IFERROR(INDEX(#REF!,MATCH("*"&amp;L17&amp;"*",#REF!,0)),"  ")</f>
        <v xml:space="preserve">  </v>
      </c>
      <c r="AN17" s="568">
        <f t="shared" si="21"/>
        <v>6</v>
      </c>
      <c r="AO17" s="469">
        <f t="shared" si="22"/>
        <v>4</v>
      </c>
      <c r="AP17" s="469">
        <f t="shared" si="23"/>
        <v>1</v>
      </c>
      <c r="AQ17" s="569"/>
      <c r="AR17" s="569"/>
      <c r="AS17" s="569"/>
      <c r="AT17" s="570">
        <f t="shared" si="24"/>
        <v>2.9999999999999997E-4</v>
      </c>
      <c r="AU17" s="571">
        <f t="shared" si="25"/>
        <v>24.0001</v>
      </c>
      <c r="AV17" s="571">
        <f t="shared" si="26"/>
        <v>24.0002</v>
      </c>
      <c r="AW17" s="571">
        <f t="shared" si="27"/>
        <v>2.9999999999999997E-4</v>
      </c>
      <c r="AX17" s="571">
        <f t="shared" si="28"/>
        <v>4.0000000000000002E-4</v>
      </c>
      <c r="AY17" s="571">
        <f t="shared" si="29"/>
        <v>26.000499999999999</v>
      </c>
      <c r="AZ17" s="571">
        <f t="shared" si="30"/>
        <v>5.9999999999999995E-4</v>
      </c>
      <c r="BA17" s="571">
        <f t="shared" si="31"/>
        <v>20.000699999999998</v>
      </c>
      <c r="BB17" s="571">
        <f t="shared" si="32"/>
        <v>16.000800000000002</v>
      </c>
      <c r="BC17" s="571">
        <f t="shared" si="33"/>
        <v>8.9999999999999998E-4</v>
      </c>
      <c r="BD17" s="571">
        <f t="shared" si="34"/>
        <v>22.001000000000001</v>
      </c>
      <c r="BE17" s="569"/>
      <c r="BF17" s="569"/>
      <c r="BG17" s="569"/>
      <c r="BH17" s="569"/>
      <c r="BI17" s="377">
        <f t="shared" si="35"/>
        <v>2</v>
      </c>
      <c r="BJ17" s="377">
        <f t="shared" si="36"/>
        <v>4</v>
      </c>
      <c r="BK17" s="377" t="e">
        <f t="shared" si="37"/>
        <v>#VALUE!</v>
      </c>
      <c r="BL17" s="377" t="e">
        <f t="shared" si="38"/>
        <v>#VALUE!</v>
      </c>
      <c r="BM17" s="377">
        <f t="shared" si="39"/>
        <v>6</v>
      </c>
      <c r="BN17" s="377" t="e">
        <f t="shared" si="40"/>
        <v>#VALUE!</v>
      </c>
      <c r="BO17" s="377">
        <f t="shared" si="41"/>
        <v>1</v>
      </c>
      <c r="BP17" s="377">
        <f t="shared" si="42"/>
        <v>2</v>
      </c>
      <c r="BQ17" s="377" t="e">
        <f t="shared" si="43"/>
        <v>#VALUE!</v>
      </c>
      <c r="BR17" s="377">
        <f t="shared" si="44"/>
        <v>2</v>
      </c>
    </row>
    <row r="18" spans="1:70" x14ac:dyDescent="0.2">
      <c r="A18" s="484">
        <f t="shared" si="1"/>
        <v>10</v>
      </c>
      <c r="B18" s="485">
        <f t="shared" si="2"/>
        <v>12</v>
      </c>
      <c r="C18" s="486" t="str">
        <f t="shared" si="3"/>
        <v/>
      </c>
      <c r="D18" s="487">
        <f t="shared" si="4"/>
        <v>-988</v>
      </c>
      <c r="E18" s="488">
        <f t="shared" si="5"/>
        <v>12</v>
      </c>
      <c r="F18" s="489">
        <f t="shared" si="6"/>
        <v>12</v>
      </c>
      <c r="G18" s="490" t="str">
        <f t="shared" si="7"/>
        <v/>
      </c>
      <c r="H18" s="489">
        <f t="shared" si="8"/>
        <v>-988</v>
      </c>
      <c r="I18" s="491" t="str">
        <f t="shared" si="9"/>
        <v/>
      </c>
      <c r="J18" s="554">
        <f t="shared" si="10"/>
        <v>-988</v>
      </c>
      <c r="K18" s="526">
        <f t="shared" si="11"/>
        <v>12</v>
      </c>
      <c r="L18" s="555" t="s">
        <v>177</v>
      </c>
      <c r="M18" s="556"/>
      <c r="N18" s="557" t="s">
        <v>168</v>
      </c>
      <c r="O18" s="558"/>
      <c r="P18" s="559"/>
      <c r="Q18" s="560" t="s">
        <v>148</v>
      </c>
      <c r="R18" s="539">
        <f>(IF(COUNT(Z18,AA18,AB18,AC18,AD18,AE18,AF18,AG18,AH18,AI18)&lt;10,SUM(Z18,AA18,AB18,AC18,AD18,AE18,AF18,AG18,AH18,AI18),SUM(LARGE((Z18,AA18,AB18,AC18,AD18,AE18,AF18,AG18,AH18,AI18),{1;2;3;4;5;6;7;8;9}))))</f>
        <v>130</v>
      </c>
      <c r="S18" s="561" t="str">
        <f>INDEX([1]ETAPP!B$1:B$32,MATCH(COUNTIF(BI18:BR18,1),[1]ETAPP!A$1:A$32,0))&amp;INDEX([1]ETAPP!B$1:B$32,MATCH(COUNTIF(BI18:BR18,2),[1]ETAPP!A$1:A$32,0))&amp;INDEX([1]ETAPP!B$1:B$32,MATCH(COUNTIF(BI18:BR18,3),[1]ETAPP!A$1:A$32,0))&amp;INDEX([1]ETAPP!B$1:B$32,MATCH(COUNTIF(BI18:BR18,4),[1]ETAPP!A$1:A$32,0))&amp;INDEX([1]ETAPP!B$1:B$32,MATCH(COUNTIF(BI18:BR18,5),[1]ETAPP!A$1:A$32,0))&amp;INDEX([1]ETAPP!B$1:B$32,MATCH(COUNTIF(BI18:BR18,6),[1]ETAPP!A$1:A$32,0))&amp;INDEX([1]ETAPP!B$1:B$32,MATCH(COUNTIF(BI18:BR18,7),[1]ETAPP!A$1:A$32,0))&amp;INDEX([1]ETAPP!B$1:B$32,MATCH(COUNTIF(BI18:BR18,8),[1]ETAPP!A$1:A$32,0))&amp;INDEX([1]ETAPP!B$1:B$32,MATCH(COUNTIF(BI18:BR18,9),[1]ETAPP!A$1:A$32,0))&amp;INDEX([1]ETAPP!B$1:B$32,MATCH(COUNTIF(BI18:BR18,10),[1]ETAPP!A$1:A$32,0))&amp;INDEX([1]ETAPP!B$1:B$32,MATCH(COUNTIF(BI18:BR18,11),[1]ETAPP!A$1:A$32,0))&amp;INDEX([1]ETAPP!B$1:B$32,MATCH(COUNTIF(BI18:BR18,12),[1]ETAPP!A$1:A$32,0))&amp;INDEX([1]ETAPP!B$1:B$32,MATCH(COUNTIF(BI18:BR18,13),[1]ETAPP!A$1:A$32,0))&amp;INDEX([1]ETAPP!B$1:B$32,MATCH(COUNTIF(BI18:BR18,14),[1]ETAPP!A$1:A$32,0))&amp;INDEX([1]ETAPP!B$1:B$32,MATCH(COUNTIF(BI18:BR18,15),[1]ETAPP!A$1:A$32,0))&amp;INDEX([1]ETAPP!B$1:B$32,MATCH(COUNTIF(BI18:BR18,16),[1]ETAPP!A$1:A$32,0))&amp;INDEX([1]ETAPP!B$1:B$32,MATCH(COUNTIF(BI18:BR18,17),[1]ETAPP!A$1:A$32,0))&amp;INDEX([1]ETAPP!B$1:B$32,MATCH(COUNTIF(BI18:BR18,18),[1]ETAPP!A$1:A$32,0))&amp;INDEX([1]ETAPP!B$1:B$32,MATCH(COUNTIF(BI18:BR18,19),[1]ETAPP!A$1:A$32,0))&amp;INDEX([1]ETAPP!B$1:B$32,MATCH(COUNTIF(BI18:BR18,20),[1]ETAPP!A$1:A$32,0))&amp;INDEX([1]ETAPP!B$1:B$32,MATCH(COUNTIF(BI18:BR18,21),[1]ETAPP!A$1:A$32,0))</f>
        <v>C0A0A0000000000000000</v>
      </c>
      <c r="T18" s="561" t="str">
        <f t="shared" si="12"/>
        <v>130,0-C0A0A0000000000000000</v>
      </c>
      <c r="U18" s="561">
        <f t="shared" si="13"/>
        <v>12</v>
      </c>
      <c r="V18" s="561">
        <f t="shared" si="14"/>
        <v>15</v>
      </c>
      <c r="W18" s="561" t="str">
        <f t="shared" si="15"/>
        <v>130,0-C0A0A0000000000000000-015</v>
      </c>
      <c r="X18" s="561">
        <f t="shared" si="16"/>
        <v>12</v>
      </c>
      <c r="Y18" s="562">
        <f t="shared" si="17"/>
        <v>103</v>
      </c>
      <c r="Z18" s="563">
        <f>IFERROR(INDEX('V1'!C$300:C$400,MATCH("*"&amp;L18&amp;"*",'V1'!B$300:B$400,0)),"  ")</f>
        <v>26</v>
      </c>
      <c r="AA18" s="563" t="str">
        <f>IFERROR(INDEX('V2'!C$300:C$400,MATCH("*"&amp;L18&amp;"*",'V2'!B$300:B$400,0)),"  ")</f>
        <v xml:space="preserve">  </v>
      </c>
      <c r="AB18" s="563" t="str">
        <f>IFERROR(INDEX('V3'!C$300:C$400,MATCH("*"&amp;L18&amp;"*",'V3'!B$300:B$400,0)),"  ")</f>
        <v xml:space="preserve">  </v>
      </c>
      <c r="AC18" s="563" t="str">
        <f>IFERROR(INDEX('V4'!C$300:C$400,MATCH("*"&amp;L18&amp;"*",'V4'!B$300:B$400,0)),"  ")</f>
        <v xml:space="preserve">  </v>
      </c>
      <c r="AD18" s="563">
        <f>IFERROR(INDEX('V5'!C$300:C$400,MATCH("*"&amp;L18&amp;"*",'V5'!B$300:B$400,0)),"  ")</f>
        <v>28</v>
      </c>
      <c r="AE18" s="563">
        <f>IFERROR(INDEX('V6'!C$300:C$400,MATCH("*"&amp;L18&amp;"*",'V6'!B$300:B$400,0)),"  ")</f>
        <v>32</v>
      </c>
      <c r="AF18" s="563">
        <f>IFERROR(INDEX('V7'!C$300:C$400,MATCH("*"&amp;L18&amp;"*",'V7'!B$300:B$400,0)),"  ")</f>
        <v>16</v>
      </c>
      <c r="AG18" s="563" t="str">
        <f>IFERROR(INDEX('V8'!C$300:C$400,MATCH("*"&amp;L18&amp;"*",'V8'!B$300:B$400,0)),"  ")</f>
        <v xml:space="preserve">  </v>
      </c>
      <c r="AH18" s="563">
        <f>IFERROR(INDEX('V9'!C$300:C$400,MATCH("*"&amp;L18&amp;"*",'V9'!B$300:B$400,0)),"  ")</f>
        <v>28</v>
      </c>
      <c r="AI18" s="563" t="str">
        <f>IFERROR(INDEX('V10'!C$300:C$400,MATCH("*"&amp;L18&amp;"*",'V10'!B$300:B$400,0)),"  ")</f>
        <v xml:space="preserve">  </v>
      </c>
      <c r="AJ18" s="564">
        <f t="shared" si="18"/>
        <v>12</v>
      </c>
      <c r="AK18" s="565">
        <f t="shared" si="19"/>
        <v>130</v>
      </c>
      <c r="AL18" s="566" t="str">
        <f t="shared" si="20"/>
        <v>edasi 12</v>
      </c>
      <c r="AM18" s="567" t="str">
        <f>IFERROR(INDEX(#REF!,MATCH("*"&amp;L18&amp;"*",#REF!,0)),"  ")</f>
        <v xml:space="preserve">  </v>
      </c>
      <c r="AN18" s="568">
        <f t="shared" si="21"/>
        <v>5</v>
      </c>
      <c r="AO18" s="469">
        <f t="shared" si="22"/>
        <v>4</v>
      </c>
      <c r="AP18" s="469">
        <f t="shared" si="23"/>
        <v>3</v>
      </c>
      <c r="AQ18" s="569"/>
      <c r="AR18" s="569"/>
      <c r="AS18" s="569"/>
      <c r="AT18" s="570">
        <f t="shared" si="24"/>
        <v>2.0000000000000001E-4</v>
      </c>
      <c r="AU18" s="571">
        <f t="shared" si="25"/>
        <v>26.0001</v>
      </c>
      <c r="AV18" s="571">
        <f t="shared" si="26"/>
        <v>2.0000000000000001E-4</v>
      </c>
      <c r="AW18" s="571">
        <f t="shared" si="27"/>
        <v>2.9999999999999997E-4</v>
      </c>
      <c r="AX18" s="571">
        <f t="shared" si="28"/>
        <v>4.0000000000000002E-4</v>
      </c>
      <c r="AY18" s="571">
        <f t="shared" si="29"/>
        <v>28.000499999999999</v>
      </c>
      <c r="AZ18" s="571">
        <f t="shared" si="30"/>
        <v>32.000599999999999</v>
      </c>
      <c r="BA18" s="571">
        <f t="shared" si="31"/>
        <v>16.000699999999998</v>
      </c>
      <c r="BB18" s="571">
        <f t="shared" si="32"/>
        <v>8.0000000000000004E-4</v>
      </c>
      <c r="BC18" s="571">
        <f t="shared" si="33"/>
        <v>28.000900000000001</v>
      </c>
      <c r="BD18" s="571">
        <f t="shared" si="34"/>
        <v>1E-3</v>
      </c>
      <c r="BE18" s="569"/>
      <c r="BF18" s="569"/>
      <c r="BG18" s="569"/>
      <c r="BH18" s="569"/>
      <c r="BI18" s="377">
        <f t="shared" si="35"/>
        <v>1</v>
      </c>
      <c r="BJ18" s="377" t="e">
        <f t="shared" si="36"/>
        <v>#VALUE!</v>
      </c>
      <c r="BK18" s="377" t="e">
        <f t="shared" si="37"/>
        <v>#VALUE!</v>
      </c>
      <c r="BL18" s="377" t="e">
        <f t="shared" si="38"/>
        <v>#VALUE!</v>
      </c>
      <c r="BM18" s="377">
        <f t="shared" si="39"/>
        <v>5</v>
      </c>
      <c r="BN18" s="377">
        <f t="shared" si="40"/>
        <v>1</v>
      </c>
      <c r="BO18" s="377">
        <f t="shared" si="41"/>
        <v>3</v>
      </c>
      <c r="BP18" s="377" t="e">
        <f t="shared" si="42"/>
        <v>#VALUE!</v>
      </c>
      <c r="BQ18" s="377">
        <f t="shared" si="43"/>
        <v>1</v>
      </c>
      <c r="BR18" s="377" t="e">
        <f t="shared" si="44"/>
        <v>#VALUE!</v>
      </c>
    </row>
    <row r="19" spans="1:70" x14ac:dyDescent="0.2">
      <c r="A19" s="484">
        <f t="shared" si="1"/>
        <v>11</v>
      </c>
      <c r="B19" s="485">
        <f t="shared" si="2"/>
        <v>13</v>
      </c>
      <c r="C19" s="486">
        <f t="shared" si="3"/>
        <v>4</v>
      </c>
      <c r="D19" s="487">
        <f t="shared" si="4"/>
        <v>13</v>
      </c>
      <c r="E19" s="488">
        <f t="shared" si="5"/>
        <v>13</v>
      </c>
      <c r="F19" s="489">
        <f t="shared" si="6"/>
        <v>13</v>
      </c>
      <c r="G19" s="490" t="str">
        <f t="shared" si="7"/>
        <v/>
      </c>
      <c r="H19" s="489">
        <f t="shared" si="8"/>
        <v>-987</v>
      </c>
      <c r="I19" s="491" t="str">
        <f t="shared" si="9"/>
        <v/>
      </c>
      <c r="J19" s="554">
        <f t="shared" si="10"/>
        <v>-987</v>
      </c>
      <c r="K19" s="526">
        <f t="shared" si="11"/>
        <v>13</v>
      </c>
      <c r="L19" s="555" t="s">
        <v>174</v>
      </c>
      <c r="M19" s="556"/>
      <c r="N19" s="557" t="s">
        <v>168</v>
      </c>
      <c r="O19" s="579"/>
      <c r="P19" s="559" t="s">
        <v>269</v>
      </c>
      <c r="Q19" s="560" t="s">
        <v>148</v>
      </c>
      <c r="R19" s="539">
        <f>(IF(COUNT(Z19,AA19,AB19,AC19,AD19,AE19,AF19,AG19,AH19,AI19)&lt;10,SUM(Z19,AA19,AB19,AC19,AD19,AE19,AF19,AG19,AH19,AI19),SUM(LARGE((Z19,AA19,AB19,AC19,AD19,AE19,AF19,AG19,AH19,AI19),{1;2;3;4;5;6;7;8;9}))))</f>
        <v>130</v>
      </c>
      <c r="S19" s="561" t="str">
        <f>INDEX([1]ETAPP!B$1:B$32,MATCH(COUNTIF(BI19:BR19,1),[1]ETAPP!A$1:A$32,0))&amp;INDEX([1]ETAPP!B$1:B$32,MATCH(COUNTIF(BI19:BR19,2),[1]ETAPP!A$1:A$32,0))&amp;INDEX([1]ETAPP!B$1:B$32,MATCH(COUNTIF(BI19:BR19,3),[1]ETAPP!A$1:A$32,0))&amp;INDEX([1]ETAPP!B$1:B$32,MATCH(COUNTIF(BI19:BR19,4),[1]ETAPP!A$1:A$32,0))&amp;INDEX([1]ETAPP!B$1:B$32,MATCH(COUNTIF(BI19:BR19,5),[1]ETAPP!A$1:A$32,0))&amp;INDEX([1]ETAPP!B$1:B$32,MATCH(COUNTIF(BI19:BR19,6),[1]ETAPP!A$1:A$32,0))&amp;INDEX([1]ETAPP!B$1:B$32,MATCH(COUNTIF(BI19:BR19,7),[1]ETAPP!A$1:A$32,0))&amp;INDEX([1]ETAPP!B$1:B$32,MATCH(COUNTIF(BI19:BR19,8),[1]ETAPP!A$1:A$32,0))&amp;INDEX([1]ETAPP!B$1:B$32,MATCH(COUNTIF(BI19:BR19,9),[1]ETAPP!A$1:A$32,0))&amp;INDEX([1]ETAPP!B$1:B$32,MATCH(COUNTIF(BI19:BR19,10),[1]ETAPP!A$1:A$32,0))&amp;INDEX([1]ETAPP!B$1:B$32,MATCH(COUNTIF(BI19:BR19,11),[1]ETAPP!A$1:A$32,0))&amp;INDEX([1]ETAPP!B$1:B$32,MATCH(COUNTIF(BI19:BR19,12),[1]ETAPP!A$1:A$32,0))&amp;INDEX([1]ETAPP!B$1:B$32,MATCH(COUNTIF(BI19:BR19,13),[1]ETAPP!A$1:A$32,0))&amp;INDEX([1]ETAPP!B$1:B$32,MATCH(COUNTIF(BI19:BR19,14),[1]ETAPP!A$1:A$32,0))&amp;INDEX([1]ETAPP!B$1:B$32,MATCH(COUNTIF(BI19:BR19,15),[1]ETAPP!A$1:A$32,0))&amp;INDEX([1]ETAPP!B$1:B$32,MATCH(COUNTIF(BI19:BR19,16),[1]ETAPP!A$1:A$32,0))&amp;INDEX([1]ETAPP!B$1:B$32,MATCH(COUNTIF(BI19:BR19,17),[1]ETAPP!A$1:A$32,0))&amp;INDEX([1]ETAPP!B$1:B$32,MATCH(COUNTIF(BI19:BR19,18),[1]ETAPP!A$1:A$32,0))&amp;INDEX([1]ETAPP!B$1:B$32,MATCH(COUNTIF(BI19:BR19,19),[1]ETAPP!A$1:A$32,0))&amp;INDEX([1]ETAPP!B$1:B$32,MATCH(COUNTIF(BI19:BR19,20),[1]ETAPP!A$1:A$32,0))&amp;INDEX([1]ETAPP!B$1:B$32,MATCH(COUNTIF(BI19:BR19,21),[1]ETAPP!A$1:A$32,0))</f>
        <v>BA0AA000A000000000000</v>
      </c>
      <c r="T19" s="561" t="str">
        <f t="shared" si="12"/>
        <v>130,0-BA0AA000A000000000000</v>
      </c>
      <c r="U19" s="561">
        <f t="shared" si="13"/>
        <v>13</v>
      </c>
      <c r="V19" s="561">
        <f t="shared" si="14"/>
        <v>67</v>
      </c>
      <c r="W19" s="561" t="str">
        <f t="shared" si="15"/>
        <v>130,0-BA0AA000A000000000000-067</v>
      </c>
      <c r="X19" s="561">
        <f t="shared" si="16"/>
        <v>13</v>
      </c>
      <c r="Y19" s="562">
        <f t="shared" si="17"/>
        <v>102</v>
      </c>
      <c r="Z19" s="563">
        <f>IFERROR(INDEX('V1'!C$300:C$400,MATCH("*"&amp;L19&amp;"*",'V1'!B$300:B$400,0)),"  ")</f>
        <v>20</v>
      </c>
      <c r="AA19" s="563" t="str">
        <f>IFERROR(INDEX('V2'!C$300:C$400,MATCH("*"&amp;L19&amp;"*",'V2'!B$300:B$400,0)),"  ")</f>
        <v xml:space="preserve">  </v>
      </c>
      <c r="AB19" s="563">
        <f>IFERROR(INDEX('V3'!C$300:C$400,MATCH("*"&amp;L19&amp;"*",'V3'!B$300:B$400,0)),"  ")</f>
        <v>22</v>
      </c>
      <c r="AC19" s="563" t="str">
        <f>IFERROR(INDEX('V4'!C$300:C$400,MATCH("*"&amp;L19&amp;"*",'V4'!B$300:B$400,0)),"  ")</f>
        <v xml:space="preserve">  </v>
      </c>
      <c r="AD19" s="563">
        <f>IFERROR(INDEX('V5'!C$300:C$400,MATCH("*"&amp;L19&amp;"*",'V5'!B$300:B$400,0)),"  ")</f>
        <v>36</v>
      </c>
      <c r="AE19" s="563">
        <f>IFERROR(INDEX('V6'!C$300:C$400,MATCH("*"&amp;L19&amp;"*",'V6'!B$300:B$400,0)),"  ")</f>
        <v>16</v>
      </c>
      <c r="AF19" s="563">
        <f>IFERROR(INDEX('V7'!C$300:C$400,MATCH("*"&amp;L19&amp;"*",'V7'!B$300:B$400,0)),"  ")</f>
        <v>20</v>
      </c>
      <c r="AG19" s="563">
        <f>IFERROR(INDEX('V8'!C$300:C$400,MATCH("*"&amp;L19&amp;"*",'V8'!B$300:B$400,0)),"  ")</f>
        <v>16</v>
      </c>
      <c r="AH19" s="563" t="str">
        <f>IFERROR(INDEX('V9'!C$300:C$400,MATCH("*"&amp;L19&amp;"*",'V9'!B$300:B$400,0)),"  ")</f>
        <v xml:space="preserve">  </v>
      </c>
      <c r="AI19" s="563" t="str">
        <f>IFERROR(INDEX('V10'!C$300:C$400,MATCH("*"&amp;L19&amp;"*",'V10'!B$300:B$400,0)),"  ")</f>
        <v xml:space="preserve">  </v>
      </c>
      <c r="AJ19" s="564">
        <f t="shared" si="18"/>
        <v>13</v>
      </c>
      <c r="AK19" s="565">
        <f t="shared" si="19"/>
        <v>130</v>
      </c>
      <c r="AL19" s="566" t="str">
        <f t="shared" si="20"/>
        <v>edasi 13</v>
      </c>
      <c r="AM19" s="567" t="str">
        <f>IFERROR(INDEX(#REF!,MATCH("*"&amp;L19&amp;"*",#REF!,0)),"  ")</f>
        <v xml:space="preserve">  </v>
      </c>
      <c r="AN19" s="568">
        <f t="shared" si="21"/>
        <v>6</v>
      </c>
      <c r="AO19" s="469">
        <f t="shared" si="22"/>
        <v>3</v>
      </c>
      <c r="AP19" s="469">
        <f t="shared" si="23"/>
        <v>2</v>
      </c>
      <c r="AQ19" s="569"/>
      <c r="AR19" s="569"/>
      <c r="AS19" s="569"/>
      <c r="AT19" s="570">
        <f t="shared" si="24"/>
        <v>2.0000000000000001E-4</v>
      </c>
      <c r="AU19" s="571">
        <f t="shared" si="25"/>
        <v>20.0001</v>
      </c>
      <c r="AV19" s="571">
        <f t="shared" si="26"/>
        <v>2.0000000000000001E-4</v>
      </c>
      <c r="AW19" s="571">
        <f t="shared" si="27"/>
        <v>22.000299999999999</v>
      </c>
      <c r="AX19" s="571">
        <f t="shared" si="28"/>
        <v>4.0000000000000002E-4</v>
      </c>
      <c r="AY19" s="571">
        <f t="shared" si="29"/>
        <v>36.000500000000002</v>
      </c>
      <c r="AZ19" s="571">
        <f t="shared" si="30"/>
        <v>16.000599999999999</v>
      </c>
      <c r="BA19" s="571">
        <f t="shared" si="31"/>
        <v>20.000699999999998</v>
      </c>
      <c r="BB19" s="571">
        <f t="shared" si="32"/>
        <v>16.000800000000002</v>
      </c>
      <c r="BC19" s="571">
        <f t="shared" si="33"/>
        <v>8.9999999999999998E-4</v>
      </c>
      <c r="BD19" s="571">
        <f t="shared" si="34"/>
        <v>1E-3</v>
      </c>
      <c r="BE19" s="569"/>
      <c r="BF19" s="569"/>
      <c r="BG19" s="569"/>
      <c r="BH19" s="569"/>
      <c r="BI19" s="377">
        <f t="shared" si="35"/>
        <v>4</v>
      </c>
      <c r="BJ19" s="377" t="e">
        <f t="shared" si="36"/>
        <v>#VALUE!</v>
      </c>
      <c r="BK19" s="377">
        <f t="shared" si="37"/>
        <v>5</v>
      </c>
      <c r="BL19" s="377" t="e">
        <f t="shared" si="38"/>
        <v>#VALUE!</v>
      </c>
      <c r="BM19" s="377">
        <f t="shared" si="39"/>
        <v>1</v>
      </c>
      <c r="BN19" s="377">
        <f t="shared" si="40"/>
        <v>9</v>
      </c>
      <c r="BO19" s="377">
        <f t="shared" si="41"/>
        <v>1</v>
      </c>
      <c r="BP19" s="377">
        <f t="shared" si="42"/>
        <v>2</v>
      </c>
      <c r="BQ19" s="377" t="e">
        <f t="shared" si="43"/>
        <v>#VALUE!</v>
      </c>
      <c r="BR19" s="377" t="e">
        <f t="shared" si="44"/>
        <v>#VALUE!</v>
      </c>
    </row>
    <row r="20" spans="1:70" x14ac:dyDescent="0.2">
      <c r="A20" s="484">
        <f t="shared" si="1"/>
        <v>12</v>
      </c>
      <c r="B20" s="485">
        <f t="shared" si="2"/>
        <v>14</v>
      </c>
      <c r="C20" s="486">
        <f t="shared" si="3"/>
        <v>5</v>
      </c>
      <c r="D20" s="487">
        <f t="shared" si="4"/>
        <v>14</v>
      </c>
      <c r="E20" s="488">
        <f t="shared" si="5"/>
        <v>14</v>
      </c>
      <c r="F20" s="489">
        <f t="shared" si="6"/>
        <v>14</v>
      </c>
      <c r="G20" s="490" t="str">
        <f t="shared" si="7"/>
        <v/>
      </c>
      <c r="H20" s="489">
        <f t="shared" si="8"/>
        <v>-986</v>
      </c>
      <c r="I20" s="491" t="str">
        <f t="shared" si="9"/>
        <v/>
      </c>
      <c r="J20" s="554">
        <f t="shared" si="10"/>
        <v>-986</v>
      </c>
      <c r="K20" s="526">
        <f t="shared" si="11"/>
        <v>14</v>
      </c>
      <c r="L20" s="555" t="s">
        <v>176</v>
      </c>
      <c r="M20" s="556"/>
      <c r="N20" s="557" t="s">
        <v>168</v>
      </c>
      <c r="O20" s="558"/>
      <c r="P20" s="559" t="s">
        <v>269</v>
      </c>
      <c r="Q20" s="560" t="s">
        <v>148</v>
      </c>
      <c r="R20" s="539">
        <f>(IF(COUNT(Z20,AA20,AB20,AC20,AD20,AE20,AF20,AG20,AH20,AI20)&lt;10,SUM(Z20,AA20,AB20,AC20,AD20,AE20,AF20,AG20,AH20,AI20),SUM(LARGE((Z20,AA20,AB20,AC20,AD20,AE20,AF20,AG20,AH20,AI20),{1;2;3;4;5;6;7;8;9}))))</f>
        <v>128</v>
      </c>
      <c r="S20" s="561" t="str">
        <f>INDEX([1]ETAPP!B$1:B$32,MATCH(COUNTIF(BI20:BR20,1),[1]ETAPP!A$1:A$32,0))&amp;INDEX([1]ETAPP!B$1:B$32,MATCH(COUNTIF(BI20:BR20,2),[1]ETAPP!A$1:A$32,0))&amp;INDEX([1]ETAPP!B$1:B$32,MATCH(COUNTIF(BI20:BR20,3),[1]ETAPP!A$1:A$32,0))&amp;INDEX([1]ETAPP!B$1:B$32,MATCH(COUNTIF(BI20:BR20,4),[1]ETAPP!A$1:A$32,0))&amp;INDEX([1]ETAPP!B$1:B$32,MATCH(COUNTIF(BI20:BR20,5),[1]ETAPP!A$1:A$32,0))&amp;INDEX([1]ETAPP!B$1:B$32,MATCH(COUNTIF(BI20:BR20,6),[1]ETAPP!A$1:A$32,0))&amp;INDEX([1]ETAPP!B$1:B$32,MATCH(COUNTIF(BI20:BR20,7),[1]ETAPP!A$1:A$32,0))&amp;INDEX([1]ETAPP!B$1:B$32,MATCH(COUNTIF(BI20:BR20,8),[1]ETAPP!A$1:A$32,0))&amp;INDEX([1]ETAPP!B$1:B$32,MATCH(COUNTIF(BI20:BR20,9),[1]ETAPP!A$1:A$32,0))&amp;INDEX([1]ETAPP!B$1:B$32,MATCH(COUNTIF(BI20:BR20,10),[1]ETAPP!A$1:A$32,0))&amp;INDEX([1]ETAPP!B$1:B$32,MATCH(COUNTIF(BI20:BR20,11),[1]ETAPP!A$1:A$32,0))&amp;INDEX([1]ETAPP!B$1:B$32,MATCH(COUNTIF(BI20:BR20,12),[1]ETAPP!A$1:A$32,0))&amp;INDEX([1]ETAPP!B$1:B$32,MATCH(COUNTIF(BI20:BR20,13),[1]ETAPP!A$1:A$32,0))&amp;INDEX([1]ETAPP!B$1:B$32,MATCH(COUNTIF(BI20:BR20,14),[1]ETAPP!A$1:A$32,0))&amp;INDEX([1]ETAPP!B$1:B$32,MATCH(COUNTIF(BI20:BR20,15),[1]ETAPP!A$1:A$32,0))&amp;INDEX([1]ETAPP!B$1:B$32,MATCH(COUNTIF(BI20:BR20,16),[1]ETAPP!A$1:A$32,0))&amp;INDEX([1]ETAPP!B$1:B$32,MATCH(COUNTIF(BI20:BR20,17),[1]ETAPP!A$1:A$32,0))&amp;INDEX([1]ETAPP!B$1:B$32,MATCH(COUNTIF(BI20:BR20,18),[1]ETAPP!A$1:A$32,0))&amp;INDEX([1]ETAPP!B$1:B$32,MATCH(COUNTIF(BI20:BR20,19),[1]ETAPP!A$1:A$32,0))&amp;INDEX([1]ETAPP!B$1:B$32,MATCH(COUNTIF(BI20:BR20,20),[1]ETAPP!A$1:A$32,0))&amp;INDEX([1]ETAPP!B$1:B$32,MATCH(COUNTIF(BI20:BR20,21),[1]ETAPP!A$1:A$32,0))</f>
        <v>0A00ABAA0A0A00A000000</v>
      </c>
      <c r="T20" s="561" t="str">
        <f t="shared" si="12"/>
        <v>128,0-0A00ABAA0A0A00A000000</v>
      </c>
      <c r="U20" s="561">
        <f t="shared" si="13"/>
        <v>14</v>
      </c>
      <c r="V20" s="561">
        <f t="shared" si="14"/>
        <v>11</v>
      </c>
      <c r="W20" s="561" t="str">
        <f t="shared" si="15"/>
        <v>128,0-0A00ABAA0A0A00A000000-011</v>
      </c>
      <c r="X20" s="561">
        <f t="shared" si="16"/>
        <v>14</v>
      </c>
      <c r="Y20" s="562">
        <f t="shared" si="17"/>
        <v>101</v>
      </c>
      <c r="Z20" s="563">
        <f>IFERROR(INDEX('V1'!C$300:C$400,MATCH("*"&amp;L20&amp;"*",'V1'!B$300:B$400,0)),"  ")</f>
        <v>18</v>
      </c>
      <c r="AA20" s="563">
        <f>IFERROR(INDEX('V2'!C$300:C$400,MATCH("*"&amp;L20&amp;"*",'V2'!B$300:B$400,0)),"  ")</f>
        <v>28</v>
      </c>
      <c r="AB20" s="563">
        <f>IFERROR(INDEX('V3'!C$300:C$400,MATCH("*"&amp;L20&amp;"*",'V3'!B$300:B$400,0)),"  ")</f>
        <v>2</v>
      </c>
      <c r="AC20" s="563">
        <f>IFERROR(INDEX('V4'!C$300:C$400,MATCH("*"&amp;L20&amp;"*",'V4'!B$300:B$400,0)),"  ")</f>
        <v>18</v>
      </c>
      <c r="AD20" s="563">
        <f>IFERROR(INDEX('V5'!C$300:C$400,MATCH("*"&amp;L20&amp;"*",'V5'!B$300:B$400,0)),"  ")</f>
        <v>24</v>
      </c>
      <c r="AE20" s="563">
        <f>IFERROR(INDEX('V6'!C$300:C$400,MATCH("*"&amp;L20&amp;"*",'V6'!B$300:B$400,0)),"  ")</f>
        <v>10</v>
      </c>
      <c r="AF20" s="563" t="str">
        <f>IFERROR(INDEX('V7'!C$300:C$400,MATCH("*"&amp;L20&amp;"*",'V7'!B$300:B$400,0)),"  ")</f>
        <v xml:space="preserve">  </v>
      </c>
      <c r="AG20" s="563">
        <f>IFERROR(INDEX('V8'!C$300:C$400,MATCH("*"&amp;L20&amp;"*",'V8'!B$300:B$400,0)),"  ")</f>
        <v>4</v>
      </c>
      <c r="AH20" s="563">
        <f>IFERROR(INDEX('V9'!C$300:C$400,MATCH("*"&amp;L20&amp;"*",'V9'!B$300:B$400,0)),"  ")</f>
        <v>18</v>
      </c>
      <c r="AI20" s="563">
        <f>IFERROR(INDEX('V10'!C$300:C$400,MATCH("*"&amp;L20&amp;"*",'V10'!B$300:B$400,0)),"  ")</f>
        <v>6</v>
      </c>
      <c r="AJ20" s="564">
        <f t="shared" si="18"/>
        <v>14</v>
      </c>
      <c r="AK20" s="565">
        <f t="shared" si="19"/>
        <v>128</v>
      </c>
      <c r="AL20" s="566" t="str">
        <f t="shared" si="20"/>
        <v>edasi 14</v>
      </c>
      <c r="AM20" s="567" t="str">
        <f>IFERROR(INDEX(#REF!,MATCH("*"&amp;L20&amp;"*",#REF!,0)),"  ")</f>
        <v xml:space="preserve">  </v>
      </c>
      <c r="AN20" s="568">
        <f t="shared" si="21"/>
        <v>9</v>
      </c>
      <c r="AO20" s="469">
        <f t="shared" si="22"/>
        <v>1</v>
      </c>
      <c r="AP20" s="469">
        <f t="shared" si="23"/>
        <v>0</v>
      </c>
      <c r="AQ20" s="569"/>
      <c r="AR20" s="569"/>
      <c r="AS20" s="569"/>
      <c r="AT20" s="570">
        <f t="shared" si="24"/>
        <v>6.9999999999999999E-4</v>
      </c>
      <c r="AU20" s="571">
        <f t="shared" si="25"/>
        <v>18.0001</v>
      </c>
      <c r="AV20" s="571">
        <f t="shared" si="26"/>
        <v>28.0002</v>
      </c>
      <c r="AW20" s="571">
        <f t="shared" si="27"/>
        <v>2.0003000000000002</v>
      </c>
      <c r="AX20" s="571">
        <f t="shared" si="28"/>
        <v>18.000399999999999</v>
      </c>
      <c r="AY20" s="571">
        <f t="shared" si="29"/>
        <v>24.000499999999999</v>
      </c>
      <c r="AZ20" s="571">
        <f t="shared" si="30"/>
        <v>10.0006</v>
      </c>
      <c r="BA20" s="571">
        <f t="shared" si="31"/>
        <v>6.9999999999999999E-4</v>
      </c>
      <c r="BB20" s="571">
        <f t="shared" si="32"/>
        <v>4.0007999999999999</v>
      </c>
      <c r="BC20" s="571">
        <f t="shared" si="33"/>
        <v>18.000900000000001</v>
      </c>
      <c r="BD20" s="571">
        <f t="shared" si="34"/>
        <v>6.0010000000000003</v>
      </c>
      <c r="BE20" s="569"/>
      <c r="BF20" s="569"/>
      <c r="BG20" s="569"/>
      <c r="BH20" s="569"/>
      <c r="BI20" s="377">
        <f t="shared" si="35"/>
        <v>5</v>
      </c>
      <c r="BJ20" s="377">
        <f t="shared" si="36"/>
        <v>2</v>
      </c>
      <c r="BK20" s="377">
        <f t="shared" si="37"/>
        <v>15</v>
      </c>
      <c r="BL20" s="377">
        <f t="shared" si="38"/>
        <v>6</v>
      </c>
      <c r="BM20" s="377">
        <f t="shared" si="39"/>
        <v>7</v>
      </c>
      <c r="BN20" s="377">
        <f t="shared" si="40"/>
        <v>12</v>
      </c>
      <c r="BO20" s="377" t="e">
        <f t="shared" si="41"/>
        <v>#VALUE!</v>
      </c>
      <c r="BP20" s="377">
        <f t="shared" si="42"/>
        <v>8</v>
      </c>
      <c r="BQ20" s="377">
        <f t="shared" si="43"/>
        <v>6</v>
      </c>
      <c r="BR20" s="377">
        <f t="shared" si="44"/>
        <v>10</v>
      </c>
    </row>
    <row r="21" spans="1:70" x14ac:dyDescent="0.2">
      <c r="A21" s="484">
        <f t="shared" si="1"/>
        <v>13</v>
      </c>
      <c r="B21" s="485">
        <f t="shared" si="2"/>
        <v>15</v>
      </c>
      <c r="C21" s="486" t="str">
        <f t="shared" si="3"/>
        <v/>
      </c>
      <c r="D21" s="487">
        <f t="shared" si="4"/>
        <v>-985</v>
      </c>
      <c r="E21" s="488">
        <f t="shared" si="5"/>
        <v>15</v>
      </c>
      <c r="F21" s="489">
        <f t="shared" si="6"/>
        <v>15</v>
      </c>
      <c r="G21" s="490" t="str">
        <f t="shared" si="7"/>
        <v/>
      </c>
      <c r="H21" s="489">
        <f t="shared" si="8"/>
        <v>-985</v>
      </c>
      <c r="I21" s="491" t="str">
        <f t="shared" si="9"/>
        <v/>
      </c>
      <c r="J21" s="554">
        <f t="shared" si="10"/>
        <v>-985</v>
      </c>
      <c r="K21" s="526">
        <f t="shared" si="11"/>
        <v>15</v>
      </c>
      <c r="L21" s="555" t="s">
        <v>186</v>
      </c>
      <c r="M21" s="556"/>
      <c r="N21" s="557" t="str">
        <f>IF(M21="","m","")</f>
        <v>m</v>
      </c>
      <c r="O21" s="558"/>
      <c r="P21" s="559"/>
      <c r="Q21" s="560" t="s">
        <v>148</v>
      </c>
      <c r="R21" s="539">
        <f>(IF(COUNT(Z21,AA21,AB21,AC21,AD21,AE21,AF21,AG21,AH21,AI21)&lt;10,SUM(Z21,AA21,AB21,AC21,AD21,AE21,AF21,AG21,AH21,AI21),SUM(LARGE((Z21,AA21,AB21,AC21,AD21,AE21,AF21,AG21,AH21,AI21),{1;2;3;4;5;6;7;8;9}))))</f>
        <v>124</v>
      </c>
      <c r="S21" s="561" t="str">
        <f>INDEX([1]ETAPP!B$1:B$32,MATCH(COUNTIF(BI21:BR21,1),[1]ETAPP!A$1:A$32,0))&amp;INDEX([1]ETAPP!B$1:B$32,MATCH(COUNTIF(BI21:BR21,2),[1]ETAPP!A$1:A$32,0))&amp;INDEX([1]ETAPP!B$1:B$32,MATCH(COUNTIF(BI21:BR21,3),[1]ETAPP!A$1:A$32,0))&amp;INDEX([1]ETAPP!B$1:B$32,MATCH(COUNTIF(BI21:BR21,4),[1]ETAPP!A$1:A$32,0))&amp;INDEX([1]ETAPP!B$1:B$32,MATCH(COUNTIF(BI21:BR21,5),[1]ETAPP!A$1:A$32,0))&amp;INDEX([1]ETAPP!B$1:B$32,MATCH(COUNTIF(BI21:BR21,6),[1]ETAPP!A$1:A$32,0))&amp;INDEX([1]ETAPP!B$1:B$32,MATCH(COUNTIF(BI21:BR21,7),[1]ETAPP!A$1:A$32,0))&amp;INDEX([1]ETAPP!B$1:B$32,MATCH(COUNTIF(BI21:BR21,8),[1]ETAPP!A$1:A$32,0))&amp;INDEX([1]ETAPP!B$1:B$32,MATCH(COUNTIF(BI21:BR21,9),[1]ETAPP!A$1:A$32,0))&amp;INDEX([1]ETAPP!B$1:B$32,MATCH(COUNTIF(BI21:BR21,10),[1]ETAPP!A$1:A$32,0))&amp;INDEX([1]ETAPP!B$1:B$32,MATCH(COUNTIF(BI21:BR21,11),[1]ETAPP!A$1:A$32,0))&amp;INDEX([1]ETAPP!B$1:B$32,MATCH(COUNTIF(BI21:BR21,12),[1]ETAPP!A$1:A$32,0))&amp;INDEX([1]ETAPP!B$1:B$32,MATCH(COUNTIF(BI21:BR21,13),[1]ETAPP!A$1:A$32,0))&amp;INDEX([1]ETAPP!B$1:B$32,MATCH(COUNTIF(BI21:BR21,14),[1]ETAPP!A$1:A$32,0))&amp;INDEX([1]ETAPP!B$1:B$32,MATCH(COUNTIF(BI21:BR21,15),[1]ETAPP!A$1:A$32,0))&amp;INDEX([1]ETAPP!B$1:B$32,MATCH(COUNTIF(BI21:BR21,16),[1]ETAPP!A$1:A$32,0))&amp;INDEX([1]ETAPP!B$1:B$32,MATCH(COUNTIF(BI21:BR21,17),[1]ETAPP!A$1:A$32,0))&amp;INDEX([1]ETAPP!B$1:B$32,MATCH(COUNTIF(BI21:BR21,18),[1]ETAPP!A$1:A$32,0))&amp;INDEX([1]ETAPP!B$1:B$32,MATCH(COUNTIF(BI21:BR21,19),[1]ETAPP!A$1:A$32,0))&amp;INDEX([1]ETAPP!B$1:B$32,MATCH(COUNTIF(BI21:BR21,20),[1]ETAPP!A$1:A$32,0))&amp;INDEX([1]ETAPP!B$1:B$32,MATCH(COUNTIF(BI21:BR21,21),[1]ETAPP!A$1:A$32,0))</f>
        <v>0A000B0BAA00000000000</v>
      </c>
      <c r="T21" s="561" t="str">
        <f t="shared" si="12"/>
        <v>124,0-0A000B0BAA00000000000</v>
      </c>
      <c r="U21" s="561">
        <f t="shared" si="13"/>
        <v>15</v>
      </c>
      <c r="V21" s="561">
        <f t="shared" si="14"/>
        <v>6</v>
      </c>
      <c r="W21" s="561" t="str">
        <f t="shared" si="15"/>
        <v>124,0-0A000B0BAA00000000000-006</v>
      </c>
      <c r="X21" s="561">
        <f t="shared" si="16"/>
        <v>15</v>
      </c>
      <c r="Y21" s="562">
        <f t="shared" si="17"/>
        <v>100</v>
      </c>
      <c r="Z21" s="563" t="str">
        <f>IFERROR(INDEX('V1'!C$300:C$400,MATCH("*"&amp;L21&amp;"*",'V1'!B$300:B$400,0)),"  ")</f>
        <v xml:space="preserve">  </v>
      </c>
      <c r="AA21" s="563">
        <f>IFERROR(INDEX('V2'!C$300:C$400,MATCH("*"&amp;L21&amp;"*",'V2'!B$300:B$400,0)),"  ")</f>
        <v>16</v>
      </c>
      <c r="AB21" s="563">
        <f>IFERROR(INDEX('V3'!C$300:C$400,MATCH("*"&amp;L21&amp;"*",'V3'!B$300:B$400,0)),"  ")</f>
        <v>20</v>
      </c>
      <c r="AC21" s="563">
        <f>IFERROR(INDEX('V4'!C$300:C$400,MATCH("*"&amp;L21&amp;"*",'V4'!B$300:B$400,0)),"  ")</f>
        <v>10</v>
      </c>
      <c r="AD21" s="563">
        <f>IFERROR(INDEX('V5'!C$300:C$400,MATCH("*"&amp;L21&amp;"*",'V5'!B$300:B$400,0)),"  ")</f>
        <v>22</v>
      </c>
      <c r="AE21" s="563">
        <f>IFERROR(INDEX('V6'!C$300:C$400,MATCH("*"&amp;L21&amp;"*",'V6'!B$300:B$400,0)),"  ")</f>
        <v>30</v>
      </c>
      <c r="AF21" s="563" t="str">
        <f>IFERROR(INDEX('V7'!C$300:C$400,MATCH("*"&amp;L21&amp;"*",'V7'!B$300:B$400,0)),"  ")</f>
        <v xml:space="preserve">  </v>
      </c>
      <c r="AG21" s="563" t="str">
        <f>IFERROR(INDEX('V8'!C$300:C$400,MATCH("*"&amp;L21&amp;"*",'V8'!B$300:B$400,0)),"  ")</f>
        <v xml:space="preserve">  </v>
      </c>
      <c r="AH21" s="563">
        <f>IFERROR(INDEX('V9'!C$300:C$400,MATCH("*"&amp;L21&amp;"*",'V9'!B$300:B$400,0)),"  ")</f>
        <v>12</v>
      </c>
      <c r="AI21" s="563">
        <f>IFERROR(INDEX('V10'!C$300:C$400,MATCH("*"&amp;L21&amp;"*",'V10'!B$300:B$400,0)),"  ")</f>
        <v>14</v>
      </c>
      <c r="AJ21" s="564">
        <f t="shared" si="18"/>
        <v>15</v>
      </c>
      <c r="AK21" s="565">
        <f t="shared" si="19"/>
        <v>124</v>
      </c>
      <c r="AL21" s="566" t="str">
        <f t="shared" si="20"/>
        <v>edasi 15</v>
      </c>
      <c r="AM21" s="567" t="str">
        <f>IFERROR(INDEX(#REF!,MATCH("*"&amp;L21&amp;"*",#REF!,0)),"  ")</f>
        <v xml:space="preserve">  </v>
      </c>
      <c r="AN21" s="568">
        <f t="shared" si="21"/>
        <v>7</v>
      </c>
      <c r="AO21" s="469">
        <f t="shared" si="22"/>
        <v>1</v>
      </c>
      <c r="AP21" s="469">
        <f t="shared" si="23"/>
        <v>0</v>
      </c>
      <c r="AQ21" s="569"/>
      <c r="AR21" s="569"/>
      <c r="AS21" s="569"/>
      <c r="AT21" s="570">
        <f t="shared" si="24"/>
        <v>1E-4</v>
      </c>
      <c r="AU21" s="571">
        <f t="shared" si="25"/>
        <v>1E-4</v>
      </c>
      <c r="AV21" s="571">
        <f t="shared" si="26"/>
        <v>16.0002</v>
      </c>
      <c r="AW21" s="571">
        <f t="shared" si="27"/>
        <v>20.000299999999999</v>
      </c>
      <c r="AX21" s="571">
        <f t="shared" si="28"/>
        <v>10.000400000000001</v>
      </c>
      <c r="AY21" s="571">
        <f t="shared" si="29"/>
        <v>22.000499999999999</v>
      </c>
      <c r="AZ21" s="571">
        <f t="shared" si="30"/>
        <v>30.000599999999999</v>
      </c>
      <c r="BA21" s="571">
        <f t="shared" si="31"/>
        <v>6.9999999999999999E-4</v>
      </c>
      <c r="BB21" s="571">
        <f t="shared" si="32"/>
        <v>8.0000000000000004E-4</v>
      </c>
      <c r="BC21" s="571">
        <f t="shared" si="33"/>
        <v>12.0009</v>
      </c>
      <c r="BD21" s="571">
        <f t="shared" si="34"/>
        <v>14.000999999999999</v>
      </c>
      <c r="BE21" s="569"/>
      <c r="BF21" s="569"/>
      <c r="BG21" s="569"/>
      <c r="BH21" s="569"/>
      <c r="BI21" s="377" t="e">
        <f t="shared" si="35"/>
        <v>#VALUE!</v>
      </c>
      <c r="BJ21" s="377">
        <f t="shared" si="36"/>
        <v>8</v>
      </c>
      <c r="BK21" s="377">
        <f t="shared" si="37"/>
        <v>6</v>
      </c>
      <c r="BL21" s="377">
        <f t="shared" si="38"/>
        <v>10</v>
      </c>
      <c r="BM21" s="377">
        <f t="shared" si="39"/>
        <v>8</v>
      </c>
      <c r="BN21" s="377">
        <f t="shared" si="40"/>
        <v>2</v>
      </c>
      <c r="BO21" s="377" t="e">
        <f t="shared" si="41"/>
        <v>#VALUE!</v>
      </c>
      <c r="BP21" s="377" t="e">
        <f t="shared" si="42"/>
        <v>#VALUE!</v>
      </c>
      <c r="BQ21" s="377">
        <f t="shared" si="43"/>
        <v>9</v>
      </c>
      <c r="BR21" s="377">
        <f t="shared" si="44"/>
        <v>6</v>
      </c>
    </row>
    <row r="22" spans="1:70" x14ac:dyDescent="0.2">
      <c r="A22" s="484">
        <f t="shared" si="1"/>
        <v>14</v>
      </c>
      <c r="B22" s="485">
        <f t="shared" si="2"/>
        <v>16</v>
      </c>
      <c r="C22" s="486">
        <f t="shared" si="3"/>
        <v>6</v>
      </c>
      <c r="D22" s="487">
        <f t="shared" si="4"/>
        <v>16</v>
      </c>
      <c r="E22" s="488">
        <f t="shared" si="5"/>
        <v>16</v>
      </c>
      <c r="F22" s="489">
        <f t="shared" si="6"/>
        <v>16</v>
      </c>
      <c r="G22" s="490" t="str">
        <f t="shared" si="7"/>
        <v/>
      </c>
      <c r="H22" s="489">
        <f t="shared" si="8"/>
        <v>-984</v>
      </c>
      <c r="I22" s="491" t="str">
        <f t="shared" si="9"/>
        <v/>
      </c>
      <c r="J22" s="554">
        <f t="shared" si="10"/>
        <v>-984</v>
      </c>
      <c r="K22" s="526">
        <f t="shared" si="11"/>
        <v>16</v>
      </c>
      <c r="L22" s="572" t="s">
        <v>188</v>
      </c>
      <c r="M22" s="556"/>
      <c r="N22" s="557" t="str">
        <f>IF(M22="","m","")</f>
        <v>m</v>
      </c>
      <c r="O22" s="558"/>
      <c r="P22" s="559" t="s">
        <v>269</v>
      </c>
      <c r="Q22" s="560" t="s">
        <v>148</v>
      </c>
      <c r="R22" s="539">
        <f>(IF(COUNT(Z22,AA22,AB22,AC22,AD22,AE22,AF22,AG22,AH22,AI22)&lt;10,SUM(Z22,AA22,AB22,AC22,AD22,AE22,AF22,AG22,AH22,AI22),SUM(LARGE((Z22,AA22,AB22,AC22,AD22,AE22,AF22,AG22,AH22,AI22),{1;2;3;4;5;6;7;8;9}))))</f>
        <v>116</v>
      </c>
      <c r="S22" s="561" t="str">
        <f>INDEX([1]ETAPP!B$1:B$32,MATCH(COUNTIF(BI22:BR22,1),[1]ETAPP!A$1:A$32,0))&amp;INDEX([1]ETAPP!B$1:B$32,MATCH(COUNTIF(BI22:BR22,2),[1]ETAPP!A$1:A$32,0))&amp;INDEX([1]ETAPP!B$1:B$32,MATCH(COUNTIF(BI22:BR22,3),[1]ETAPP!A$1:A$32,0))&amp;INDEX([1]ETAPP!B$1:B$32,MATCH(COUNTIF(BI22:BR22,4),[1]ETAPP!A$1:A$32,0))&amp;INDEX([1]ETAPP!B$1:B$32,MATCH(COUNTIF(BI22:BR22,5),[1]ETAPP!A$1:A$32,0))&amp;INDEX([1]ETAPP!B$1:B$32,MATCH(COUNTIF(BI22:BR22,6),[1]ETAPP!A$1:A$32,0))&amp;INDEX([1]ETAPP!B$1:B$32,MATCH(COUNTIF(BI22:BR22,7),[1]ETAPP!A$1:A$32,0))&amp;INDEX([1]ETAPP!B$1:B$32,MATCH(COUNTIF(BI22:BR22,8),[1]ETAPP!A$1:A$32,0))&amp;INDEX([1]ETAPP!B$1:B$32,MATCH(COUNTIF(BI22:BR22,9),[1]ETAPP!A$1:A$32,0))&amp;INDEX([1]ETAPP!B$1:B$32,MATCH(COUNTIF(BI22:BR22,10),[1]ETAPP!A$1:A$32,0))&amp;INDEX([1]ETAPP!B$1:B$32,MATCH(COUNTIF(BI22:BR22,11),[1]ETAPP!A$1:A$32,0))&amp;INDEX([1]ETAPP!B$1:B$32,MATCH(COUNTIF(BI22:BR22,12),[1]ETAPP!A$1:A$32,0))&amp;INDEX([1]ETAPP!B$1:B$32,MATCH(COUNTIF(BI22:BR22,13),[1]ETAPP!A$1:A$32,0))&amp;INDEX([1]ETAPP!B$1:B$32,MATCH(COUNTIF(BI22:BR22,14),[1]ETAPP!A$1:A$32,0))&amp;INDEX([1]ETAPP!B$1:B$32,MATCH(COUNTIF(BI22:BR22,15),[1]ETAPP!A$1:A$32,0))&amp;INDEX([1]ETAPP!B$1:B$32,MATCH(COUNTIF(BI22:BR22,16),[1]ETAPP!A$1:A$32,0))&amp;INDEX([1]ETAPP!B$1:B$32,MATCH(COUNTIF(BI22:BR22,17),[1]ETAPP!A$1:A$32,0))&amp;INDEX([1]ETAPP!B$1:B$32,MATCH(COUNTIF(BI22:BR22,18),[1]ETAPP!A$1:A$32,0))&amp;INDEX([1]ETAPP!B$1:B$32,MATCH(COUNTIF(BI22:BR22,19),[1]ETAPP!A$1:A$32,0))&amp;INDEX([1]ETAPP!B$1:B$32,MATCH(COUNTIF(BI22:BR22,20),[1]ETAPP!A$1:A$32,0))&amp;INDEX([1]ETAPP!B$1:B$32,MATCH(COUNTIF(BI22:BR22,21),[1]ETAPP!A$1:A$32,0))</f>
        <v>B0AA000A0000000000000</v>
      </c>
      <c r="T22" s="561" t="str">
        <f t="shared" si="12"/>
        <v>116,0-B0AA000A0000000000000</v>
      </c>
      <c r="U22" s="561">
        <f t="shared" si="13"/>
        <v>16</v>
      </c>
      <c r="V22" s="561">
        <f t="shared" si="14"/>
        <v>12</v>
      </c>
      <c r="W22" s="561" t="str">
        <f t="shared" si="15"/>
        <v>116,0-B0AA000A0000000000000-012</v>
      </c>
      <c r="X22" s="561">
        <f t="shared" si="16"/>
        <v>16</v>
      </c>
      <c r="Y22" s="562">
        <f t="shared" si="17"/>
        <v>99</v>
      </c>
      <c r="Z22" s="563" t="str">
        <f>IFERROR(INDEX('V1'!C$300:C$400,MATCH("*"&amp;L22&amp;"*",'V1'!B$300:B$400,0)),"  ")</f>
        <v xml:space="preserve">  </v>
      </c>
      <c r="AA22" s="563">
        <f>IFERROR(INDEX('V2'!C$300:C$400,MATCH("*"&amp;L22&amp;"*",'V2'!B$300:B$400,0)),"  ")</f>
        <v>26</v>
      </c>
      <c r="AB22" s="563">
        <f>IFERROR(INDEX('V3'!C$300:C$400,MATCH("*"&amp;L22&amp;"*",'V3'!B$300:B$400,0)),"  ")</f>
        <v>30</v>
      </c>
      <c r="AC22" s="563">
        <f>IFERROR(INDEX('V4'!C$300:C$400,MATCH("*"&amp;L22&amp;"*",'V4'!B$300:B$400,0)),"  ")</f>
        <v>14</v>
      </c>
      <c r="AD22" s="563" t="str">
        <f>IFERROR(INDEX('V5'!C$300:C$400,MATCH("*"&amp;L22&amp;"*",'V5'!B$300:B$400,0)),"  ")</f>
        <v xml:space="preserve">  </v>
      </c>
      <c r="AE22" s="563" t="str">
        <f>IFERROR(INDEX('V6'!C$300:C$400,MATCH("*"&amp;L22&amp;"*",'V6'!B$300:B$400,0)),"  ")</f>
        <v xml:space="preserve">  </v>
      </c>
      <c r="AF22" s="563" t="str">
        <f>IFERROR(INDEX('V7'!C$300:C$400,MATCH("*"&amp;L22&amp;"*",'V7'!B$300:B$400,0)),"  ")</f>
        <v xml:space="preserve">  </v>
      </c>
      <c r="AG22" s="563" t="str">
        <f>IFERROR(INDEX('V8'!C$300:C$400,MATCH("*"&amp;L22&amp;"*",'V8'!B$300:B$400,0)),"  ")</f>
        <v xml:space="preserve">  </v>
      </c>
      <c r="AH22" s="563">
        <f>IFERROR(INDEX('V9'!C$300:C$400,MATCH("*"&amp;L22&amp;"*",'V9'!B$300:B$400,0)),"  ")</f>
        <v>22</v>
      </c>
      <c r="AI22" s="563">
        <f>IFERROR(INDEX('V10'!C$300:C$400,MATCH("*"&amp;L22&amp;"*",'V10'!B$300:B$400,0)),"  ")</f>
        <v>24</v>
      </c>
      <c r="AJ22" s="564">
        <f t="shared" si="18"/>
        <v>16</v>
      </c>
      <c r="AK22" s="565">
        <f t="shared" si="19"/>
        <v>116</v>
      </c>
      <c r="AL22" s="566" t="str">
        <f t="shared" si="20"/>
        <v>edasi 16</v>
      </c>
      <c r="AM22" s="567" t="str">
        <f>IFERROR(INDEX(#REF!,MATCH("*"&amp;L22&amp;"*",#REF!,0)),"  ")</f>
        <v xml:space="preserve">  </v>
      </c>
      <c r="AN22" s="568">
        <f t="shared" si="21"/>
        <v>5</v>
      </c>
      <c r="AO22" s="469">
        <f t="shared" si="22"/>
        <v>3</v>
      </c>
      <c r="AP22" s="469">
        <f t="shared" si="23"/>
        <v>2</v>
      </c>
      <c r="AQ22" s="569"/>
      <c r="AR22" s="569"/>
      <c r="AS22" s="569"/>
      <c r="AT22" s="570">
        <f t="shared" si="24"/>
        <v>1E-4</v>
      </c>
      <c r="AU22" s="571">
        <f t="shared" si="25"/>
        <v>1E-4</v>
      </c>
      <c r="AV22" s="571">
        <f t="shared" si="26"/>
        <v>26.0002</v>
      </c>
      <c r="AW22" s="571">
        <f t="shared" si="27"/>
        <v>30.000299999999999</v>
      </c>
      <c r="AX22" s="571">
        <f t="shared" si="28"/>
        <v>14.000400000000001</v>
      </c>
      <c r="AY22" s="571">
        <f t="shared" si="29"/>
        <v>5.0000000000000001E-4</v>
      </c>
      <c r="AZ22" s="571">
        <f t="shared" si="30"/>
        <v>5.9999999999999995E-4</v>
      </c>
      <c r="BA22" s="571">
        <f t="shared" si="31"/>
        <v>6.9999999999999999E-4</v>
      </c>
      <c r="BB22" s="571">
        <f t="shared" si="32"/>
        <v>8.0000000000000004E-4</v>
      </c>
      <c r="BC22" s="571">
        <f t="shared" si="33"/>
        <v>22.000900000000001</v>
      </c>
      <c r="BD22" s="571">
        <f t="shared" si="34"/>
        <v>24.001000000000001</v>
      </c>
      <c r="BE22" s="569"/>
      <c r="BF22" s="569"/>
      <c r="BG22" s="569"/>
      <c r="BH22" s="569"/>
      <c r="BI22" s="377" t="e">
        <f t="shared" si="35"/>
        <v>#VALUE!</v>
      </c>
      <c r="BJ22" s="377">
        <f t="shared" si="36"/>
        <v>3</v>
      </c>
      <c r="BK22" s="377">
        <f t="shared" si="37"/>
        <v>1</v>
      </c>
      <c r="BL22" s="377">
        <f t="shared" si="38"/>
        <v>8</v>
      </c>
      <c r="BM22" s="377" t="e">
        <f t="shared" si="39"/>
        <v>#VALUE!</v>
      </c>
      <c r="BN22" s="377" t="e">
        <f t="shared" si="40"/>
        <v>#VALUE!</v>
      </c>
      <c r="BO22" s="377" t="e">
        <f t="shared" si="41"/>
        <v>#VALUE!</v>
      </c>
      <c r="BP22" s="377" t="e">
        <f t="shared" si="42"/>
        <v>#VALUE!</v>
      </c>
      <c r="BQ22" s="377">
        <f t="shared" si="43"/>
        <v>4</v>
      </c>
      <c r="BR22" s="377">
        <f t="shared" si="44"/>
        <v>1</v>
      </c>
    </row>
    <row r="23" spans="1:70" x14ac:dyDescent="0.2">
      <c r="A23" s="484">
        <f t="shared" si="1"/>
        <v>15</v>
      </c>
      <c r="B23" s="485">
        <f t="shared" si="2"/>
        <v>17</v>
      </c>
      <c r="C23" s="486">
        <f t="shared" si="3"/>
        <v>7</v>
      </c>
      <c r="D23" s="487">
        <f t="shared" si="4"/>
        <v>17</v>
      </c>
      <c r="E23" s="488">
        <f t="shared" si="5"/>
        <v>17</v>
      </c>
      <c r="F23" s="489">
        <f t="shared" si="6"/>
        <v>17</v>
      </c>
      <c r="G23" s="490" t="str">
        <f t="shared" si="7"/>
        <v/>
      </c>
      <c r="H23" s="489">
        <f t="shared" si="8"/>
        <v>-983</v>
      </c>
      <c r="I23" s="491" t="str">
        <f t="shared" si="9"/>
        <v/>
      </c>
      <c r="J23" s="554">
        <f t="shared" si="10"/>
        <v>-983</v>
      </c>
      <c r="K23" s="526">
        <f t="shared" si="11"/>
        <v>17</v>
      </c>
      <c r="L23" s="555" t="s">
        <v>183</v>
      </c>
      <c r="M23" s="556"/>
      <c r="N23" s="557" t="str">
        <f>IF(M23="","m","")</f>
        <v>m</v>
      </c>
      <c r="O23" s="558"/>
      <c r="P23" s="559" t="s">
        <v>269</v>
      </c>
      <c r="Q23" s="560" t="s">
        <v>148</v>
      </c>
      <c r="R23" s="539">
        <f>(IF(COUNT(Z23,AA23,AB23,AC23,AD23,AE23,AF23,AG23,AH23,AI23)&lt;10,SUM(Z23,AA23,AB23,AC23,AD23,AE23,AF23,AG23,AH23,AI23),SUM(LARGE((Z23,AA23,AB23,AC23,AD23,AE23,AF23,AG23,AH23,AI23),{1;2;3;4;5;6;7;8;9}))))</f>
        <v>116</v>
      </c>
      <c r="S23" s="561" t="str">
        <f>INDEX([1]ETAPP!B$1:B$32,MATCH(COUNTIF(BI23:BR23,1),[1]ETAPP!A$1:A$32,0))&amp;INDEX([1]ETAPP!B$1:B$32,MATCH(COUNTIF(BI23:BR23,2),[1]ETAPP!A$1:A$32,0))&amp;INDEX([1]ETAPP!B$1:B$32,MATCH(COUNTIF(BI23:BR23,3),[1]ETAPP!A$1:A$32,0))&amp;INDEX([1]ETAPP!B$1:B$32,MATCH(COUNTIF(BI23:BR23,4),[1]ETAPP!A$1:A$32,0))&amp;INDEX([1]ETAPP!B$1:B$32,MATCH(COUNTIF(BI23:BR23,5),[1]ETAPP!A$1:A$32,0))&amp;INDEX([1]ETAPP!B$1:B$32,MATCH(COUNTIF(BI23:BR23,6),[1]ETAPP!A$1:A$32,0))&amp;INDEX([1]ETAPP!B$1:B$32,MATCH(COUNTIF(BI23:BR23,7),[1]ETAPP!A$1:A$32,0))&amp;INDEX([1]ETAPP!B$1:B$32,MATCH(COUNTIF(BI23:BR23,8),[1]ETAPP!A$1:A$32,0))&amp;INDEX([1]ETAPP!B$1:B$32,MATCH(COUNTIF(BI23:BR23,9),[1]ETAPP!A$1:A$32,0))&amp;INDEX([1]ETAPP!B$1:B$32,MATCH(COUNTIF(BI23:BR23,10),[1]ETAPP!A$1:A$32,0))&amp;INDEX([1]ETAPP!B$1:B$32,MATCH(COUNTIF(BI23:BR23,11),[1]ETAPP!A$1:A$32,0))&amp;INDEX([1]ETAPP!B$1:B$32,MATCH(COUNTIF(BI23:BR23,12),[1]ETAPP!A$1:A$32,0))&amp;INDEX([1]ETAPP!B$1:B$32,MATCH(COUNTIF(BI23:BR23,13),[1]ETAPP!A$1:A$32,0))&amp;INDEX([1]ETAPP!B$1:B$32,MATCH(COUNTIF(BI23:BR23,14),[1]ETAPP!A$1:A$32,0))&amp;INDEX([1]ETAPP!B$1:B$32,MATCH(COUNTIF(BI23:BR23,15),[1]ETAPP!A$1:A$32,0))&amp;INDEX([1]ETAPP!B$1:B$32,MATCH(COUNTIF(BI23:BR23,16),[1]ETAPP!A$1:A$32,0))&amp;INDEX([1]ETAPP!B$1:B$32,MATCH(COUNTIF(BI23:BR23,17),[1]ETAPP!A$1:A$32,0))&amp;INDEX([1]ETAPP!B$1:B$32,MATCH(COUNTIF(BI23:BR23,18),[1]ETAPP!A$1:A$32,0))&amp;INDEX([1]ETAPP!B$1:B$32,MATCH(COUNTIF(BI23:BR23,19),[1]ETAPP!A$1:A$32,0))&amp;INDEX([1]ETAPP!B$1:B$32,MATCH(COUNTIF(BI23:BR23,20),[1]ETAPP!A$1:A$32,0))&amp;INDEX([1]ETAPP!B$1:B$32,MATCH(COUNTIF(BI23:BR23,21),[1]ETAPP!A$1:A$32,0))</f>
        <v>00000BBAAC0A000000000</v>
      </c>
      <c r="T23" s="561" t="str">
        <f t="shared" si="12"/>
        <v>116,0-00000BBAAC0A000000000</v>
      </c>
      <c r="U23" s="561">
        <f t="shared" si="13"/>
        <v>17</v>
      </c>
      <c r="V23" s="561">
        <f t="shared" si="14"/>
        <v>79</v>
      </c>
      <c r="W23" s="561" t="str">
        <f t="shared" si="15"/>
        <v>116,0-00000BBAAC0A000000000-079</v>
      </c>
      <c r="X23" s="561">
        <f t="shared" si="16"/>
        <v>17</v>
      </c>
      <c r="Y23" s="562">
        <f t="shared" si="17"/>
        <v>98</v>
      </c>
      <c r="Z23" s="563">
        <f>IFERROR(INDEX('V1'!C$300:C$400,MATCH("*"&amp;L23&amp;"*",'V1'!B$300:B$400,0)),"  ")</f>
        <v>16</v>
      </c>
      <c r="AA23" s="563">
        <f>IFERROR(INDEX('V2'!C$300:C$400,MATCH("*"&amp;L23&amp;"*",'V2'!B$300:B$400,0)),"  ")</f>
        <v>20</v>
      </c>
      <c r="AB23" s="563">
        <f>IFERROR(INDEX('V3'!C$300:C$400,MATCH("*"&amp;L23&amp;"*",'V3'!B$300:B$400,0)),"  ")</f>
        <v>12</v>
      </c>
      <c r="AC23" s="563">
        <f>IFERROR(INDEX('V4'!C$300:C$400,MATCH("*"&amp;L23&amp;"*",'V4'!B$300:B$400,0)),"  ")</f>
        <v>16</v>
      </c>
      <c r="AD23" s="563">
        <f>IFERROR(INDEX('V5'!C$300:C$400,MATCH("*"&amp;L23&amp;"*",'V5'!B$300:B$400,0)),"  ")</f>
        <v>14</v>
      </c>
      <c r="AE23" s="563">
        <f>IFERROR(INDEX('V6'!C$300:C$400,MATCH("*"&amp;L23&amp;"*",'V6'!B$300:B$400,0)),"  ")</f>
        <v>14</v>
      </c>
      <c r="AF23" s="563">
        <f>IFERROR(INDEX('V7'!C$300:C$400,MATCH("*"&amp;L23&amp;"*",'V7'!B$300:B$400,0)),"  ")</f>
        <v>6</v>
      </c>
      <c r="AG23" s="563">
        <f>IFERROR(INDEX('V8'!C$300:C$400,MATCH("*"&amp;L23&amp;"*",'V8'!B$300:B$400,0)),"  ")</f>
        <v>6</v>
      </c>
      <c r="AH23" s="563">
        <f>IFERROR(INDEX('V9'!C$300:C$400,MATCH("*"&amp;L23&amp;"*",'V9'!B$300:B$400,0)),"  ")</f>
        <v>10</v>
      </c>
      <c r="AI23" s="563">
        <f>IFERROR(INDEX('V10'!C$300:C$400,MATCH("*"&amp;L23&amp;"*",'V10'!B$300:B$400,0)),"  ")</f>
        <v>8</v>
      </c>
      <c r="AJ23" s="564">
        <f t="shared" si="18"/>
        <v>17</v>
      </c>
      <c r="AK23" s="565">
        <f t="shared" si="19"/>
        <v>122</v>
      </c>
      <c r="AL23" s="566" t="str">
        <f t="shared" si="20"/>
        <v>edasi 17</v>
      </c>
      <c r="AM23" s="567" t="str">
        <f>IFERROR(INDEX(#REF!,MATCH("*"&amp;L23&amp;"*",#REF!,0)),"  ")</f>
        <v xml:space="preserve">  </v>
      </c>
      <c r="AN23" s="568">
        <f t="shared" si="21"/>
        <v>10</v>
      </c>
      <c r="AO23" s="469">
        <f t="shared" si="22"/>
        <v>0</v>
      </c>
      <c r="AP23" s="469">
        <f t="shared" si="23"/>
        <v>0</v>
      </c>
      <c r="AQ23" s="569"/>
      <c r="AR23" s="569"/>
      <c r="AS23" s="569"/>
      <c r="AT23" s="570">
        <f t="shared" si="24"/>
        <v>6.0007000000000001</v>
      </c>
      <c r="AU23" s="571">
        <f t="shared" si="25"/>
        <v>16.0001</v>
      </c>
      <c r="AV23" s="571">
        <f t="shared" si="26"/>
        <v>20.0002</v>
      </c>
      <c r="AW23" s="571">
        <f t="shared" si="27"/>
        <v>12.000299999999999</v>
      </c>
      <c r="AX23" s="571">
        <f t="shared" si="28"/>
        <v>16.000399999999999</v>
      </c>
      <c r="AY23" s="571">
        <f t="shared" si="29"/>
        <v>14.000500000000001</v>
      </c>
      <c r="AZ23" s="571">
        <f t="shared" si="30"/>
        <v>14.0006</v>
      </c>
      <c r="BA23" s="571">
        <f t="shared" si="31"/>
        <v>6.0007000000000001</v>
      </c>
      <c r="BB23" s="571">
        <f t="shared" si="32"/>
        <v>6.0007999999999999</v>
      </c>
      <c r="BC23" s="571">
        <f t="shared" si="33"/>
        <v>10.0009</v>
      </c>
      <c r="BD23" s="571">
        <f t="shared" si="34"/>
        <v>8.0009999999999994</v>
      </c>
      <c r="BE23" s="569"/>
      <c r="BF23" s="569"/>
      <c r="BG23" s="569"/>
      <c r="BH23" s="569"/>
      <c r="BI23" s="377">
        <f t="shared" si="35"/>
        <v>6</v>
      </c>
      <c r="BJ23" s="377">
        <f t="shared" si="36"/>
        <v>6</v>
      </c>
      <c r="BK23" s="377">
        <f t="shared" si="37"/>
        <v>10</v>
      </c>
      <c r="BL23" s="377">
        <f t="shared" si="38"/>
        <v>7</v>
      </c>
      <c r="BM23" s="377">
        <f t="shared" si="39"/>
        <v>12</v>
      </c>
      <c r="BN23" s="377">
        <f t="shared" si="40"/>
        <v>10</v>
      </c>
      <c r="BO23" s="377">
        <f t="shared" si="41"/>
        <v>8</v>
      </c>
      <c r="BP23" s="377">
        <f t="shared" si="42"/>
        <v>7</v>
      </c>
      <c r="BQ23" s="377">
        <f t="shared" si="43"/>
        <v>10</v>
      </c>
      <c r="BR23" s="377">
        <f t="shared" si="44"/>
        <v>9</v>
      </c>
    </row>
    <row r="24" spans="1:70" x14ac:dyDescent="0.2">
      <c r="A24" s="484">
        <f t="shared" si="1"/>
        <v>16</v>
      </c>
      <c r="B24" s="485">
        <f t="shared" si="2"/>
        <v>18</v>
      </c>
      <c r="C24" s="486" t="str">
        <f t="shared" si="3"/>
        <v/>
      </c>
      <c r="D24" s="487">
        <f t="shared" si="4"/>
        <v>-982</v>
      </c>
      <c r="E24" s="488">
        <f t="shared" si="5"/>
        <v>18</v>
      </c>
      <c r="F24" s="489">
        <f t="shared" si="6"/>
        <v>18</v>
      </c>
      <c r="G24" s="490" t="str">
        <f t="shared" si="7"/>
        <v/>
      </c>
      <c r="H24" s="489">
        <f t="shared" si="8"/>
        <v>-982</v>
      </c>
      <c r="I24" s="491" t="str">
        <f t="shared" si="9"/>
        <v/>
      </c>
      <c r="J24" s="554">
        <f t="shared" si="10"/>
        <v>-982</v>
      </c>
      <c r="K24" s="526">
        <f t="shared" si="11"/>
        <v>18</v>
      </c>
      <c r="L24" s="555" t="s">
        <v>184</v>
      </c>
      <c r="M24" s="556"/>
      <c r="N24" s="557" t="str">
        <f>IF(M24="","m","")</f>
        <v>m</v>
      </c>
      <c r="O24" s="558"/>
      <c r="P24" s="559"/>
      <c r="Q24" s="560" t="s">
        <v>148</v>
      </c>
      <c r="R24" s="539">
        <f>(IF(COUNT(Z24,AA24,AB24,AC24,AD24,AE24,AF24,AG24,AH24,AI24)&lt;10,SUM(Z24,AA24,AB24,AC24,AD24,AE24,AF24,AG24,AH24,AI24),SUM(LARGE((Z24,AA24,AB24,AC24,AD24,AE24,AF24,AG24,AH24,AI24),{1;2;3;4;5;6;7;8;9}))))</f>
        <v>114</v>
      </c>
      <c r="S24" s="561" t="str">
        <f>INDEX([1]ETAPP!B$1:B$32,MATCH(COUNTIF(BI24:BR24,1),[1]ETAPP!A$1:A$32,0))&amp;INDEX([1]ETAPP!B$1:B$32,MATCH(COUNTIF(BI24:BR24,2),[1]ETAPP!A$1:A$32,0))&amp;INDEX([1]ETAPP!B$1:B$32,MATCH(COUNTIF(BI24:BR24,3),[1]ETAPP!A$1:A$32,0))&amp;INDEX([1]ETAPP!B$1:B$32,MATCH(COUNTIF(BI24:BR24,4),[1]ETAPP!A$1:A$32,0))&amp;INDEX([1]ETAPP!B$1:B$32,MATCH(COUNTIF(BI24:BR24,5),[1]ETAPP!A$1:A$32,0))&amp;INDEX([1]ETAPP!B$1:B$32,MATCH(COUNTIF(BI24:BR24,6),[1]ETAPP!A$1:A$32,0))&amp;INDEX([1]ETAPP!B$1:B$32,MATCH(COUNTIF(BI24:BR24,7),[1]ETAPP!A$1:A$32,0))&amp;INDEX([1]ETAPP!B$1:B$32,MATCH(COUNTIF(BI24:BR24,8),[1]ETAPP!A$1:A$32,0))&amp;INDEX([1]ETAPP!B$1:B$32,MATCH(COUNTIF(BI24:BR24,9),[1]ETAPP!A$1:A$32,0))&amp;INDEX([1]ETAPP!B$1:B$32,MATCH(COUNTIF(BI24:BR24,10),[1]ETAPP!A$1:A$32,0))&amp;INDEX([1]ETAPP!B$1:B$32,MATCH(COUNTIF(BI24:BR24,11),[1]ETAPP!A$1:A$32,0))&amp;INDEX([1]ETAPP!B$1:B$32,MATCH(COUNTIF(BI24:BR24,12),[1]ETAPP!A$1:A$32,0))&amp;INDEX([1]ETAPP!B$1:B$32,MATCH(COUNTIF(BI24:BR24,13),[1]ETAPP!A$1:A$32,0))&amp;INDEX([1]ETAPP!B$1:B$32,MATCH(COUNTIF(BI24:BR24,14),[1]ETAPP!A$1:A$32,0))&amp;INDEX([1]ETAPP!B$1:B$32,MATCH(COUNTIF(BI24:BR24,15),[1]ETAPP!A$1:A$32,0))&amp;INDEX([1]ETAPP!B$1:B$32,MATCH(COUNTIF(BI24:BR24,16),[1]ETAPP!A$1:A$32,0))&amp;INDEX([1]ETAPP!B$1:B$32,MATCH(COUNTIF(BI24:BR24,17),[1]ETAPP!A$1:A$32,0))&amp;INDEX([1]ETAPP!B$1:B$32,MATCH(COUNTIF(BI24:BR24,18),[1]ETAPP!A$1:A$32,0))&amp;INDEX([1]ETAPP!B$1:B$32,MATCH(COUNTIF(BI24:BR24,19),[1]ETAPP!A$1:A$32,0))&amp;INDEX([1]ETAPP!B$1:B$32,MATCH(COUNTIF(BI24:BR24,20),[1]ETAPP!A$1:A$32,0))&amp;INDEX([1]ETAPP!B$1:B$32,MATCH(COUNTIF(BI24:BR24,21),[1]ETAPP!A$1:A$32,0))</f>
        <v>00AAA0B000BAAA0000000</v>
      </c>
      <c r="T24" s="561" t="str">
        <f t="shared" si="12"/>
        <v>114,0-00AAA0B000BAAA0000000</v>
      </c>
      <c r="U24" s="561">
        <f t="shared" si="13"/>
        <v>18</v>
      </c>
      <c r="V24" s="561">
        <f t="shared" si="14"/>
        <v>91</v>
      </c>
      <c r="W24" s="561" t="str">
        <f t="shared" si="15"/>
        <v>114,0-00AAA0B000BAAA0000000-091</v>
      </c>
      <c r="X24" s="561">
        <f t="shared" si="16"/>
        <v>18</v>
      </c>
      <c r="Y24" s="562">
        <f t="shared" si="17"/>
        <v>97</v>
      </c>
      <c r="Z24" s="563">
        <f>IFERROR(INDEX('V1'!C$300:C$400,MATCH("*"&amp;L24&amp;"*",'V1'!B$300:B$400,0)),"  ")</f>
        <v>14</v>
      </c>
      <c r="AA24" s="563">
        <f>IFERROR(INDEX('V2'!C$300:C$400,MATCH("*"&amp;L24&amp;"*",'V2'!B$300:B$400,0)),"  ")</f>
        <v>4</v>
      </c>
      <c r="AB24" s="563">
        <f>IFERROR(INDEX('V3'!C$300:C$400,MATCH("*"&amp;L24&amp;"*",'V3'!B$300:B$400,0)),"  ")</f>
        <v>8</v>
      </c>
      <c r="AC24" s="563">
        <f>IFERROR(INDEX('V4'!C$300:C$400,MATCH("*"&amp;L24&amp;"*",'V4'!B$300:B$400,0)),"  ")</f>
        <v>4</v>
      </c>
      <c r="AD24" s="563">
        <f>IFERROR(INDEX('V5'!C$300:C$400,MATCH("*"&amp;L24&amp;"*",'V5'!B$300:B$400,0)),"  ")</f>
        <v>30</v>
      </c>
      <c r="AE24" s="563">
        <f>IFERROR(INDEX('V6'!C$300:C$400,MATCH("*"&amp;L24&amp;"*",'V6'!B$300:B$400,0)),"  ")</f>
        <v>12</v>
      </c>
      <c r="AF24" s="563">
        <f>IFERROR(INDEX('V7'!C$300:C$400,MATCH("*"&amp;L24&amp;"*",'V7'!B$300:B$400,0)),"  ")</f>
        <v>12</v>
      </c>
      <c r="AG24" s="563">
        <f>IFERROR(INDEX('V8'!C$300:C$400,MATCH("*"&amp;L24&amp;"*",'V8'!B$300:B$400,0)),"  ")</f>
        <v>14</v>
      </c>
      <c r="AH24" s="563">
        <f>IFERROR(INDEX('V9'!C$300:C$400,MATCH("*"&amp;L24&amp;"*",'V9'!B$300:B$400,0)),"  ")</f>
        <v>8</v>
      </c>
      <c r="AI24" s="563">
        <f>IFERROR(INDEX('V10'!C$300:C$400,MATCH("*"&amp;L24&amp;"*",'V10'!B$300:B$400,0)),"  ")</f>
        <v>12</v>
      </c>
      <c r="AJ24" s="564">
        <f t="shared" si="18"/>
        <v>18</v>
      </c>
      <c r="AK24" s="565">
        <f t="shared" si="19"/>
        <v>118</v>
      </c>
      <c r="AL24" s="566" t="str">
        <f t="shared" si="20"/>
        <v>edasi 18</v>
      </c>
      <c r="AM24" s="567" t="str">
        <f>IFERROR(INDEX(#REF!,MATCH("*"&amp;L24&amp;"*",#REF!,0)),"  ")</f>
        <v xml:space="preserve">  </v>
      </c>
      <c r="AN24" s="568">
        <f t="shared" si="21"/>
        <v>10</v>
      </c>
      <c r="AO24" s="469">
        <f t="shared" si="22"/>
        <v>1</v>
      </c>
      <c r="AP24" s="469">
        <f t="shared" si="23"/>
        <v>0</v>
      </c>
      <c r="AQ24" s="569"/>
      <c r="AR24" s="569"/>
      <c r="AS24" s="569"/>
      <c r="AT24" s="570">
        <f t="shared" si="24"/>
        <v>4.0002000000000004</v>
      </c>
      <c r="AU24" s="571">
        <f t="shared" si="25"/>
        <v>14.0001</v>
      </c>
      <c r="AV24" s="571">
        <f t="shared" si="26"/>
        <v>4.0002000000000004</v>
      </c>
      <c r="AW24" s="571">
        <f t="shared" si="27"/>
        <v>8.0002999999999993</v>
      </c>
      <c r="AX24" s="571">
        <f t="shared" si="28"/>
        <v>4.0004</v>
      </c>
      <c r="AY24" s="571">
        <f t="shared" si="29"/>
        <v>30.000499999999999</v>
      </c>
      <c r="AZ24" s="571">
        <f t="shared" si="30"/>
        <v>12.0006</v>
      </c>
      <c r="BA24" s="571">
        <f t="shared" si="31"/>
        <v>12.0007</v>
      </c>
      <c r="BB24" s="571">
        <f t="shared" si="32"/>
        <v>14.0008</v>
      </c>
      <c r="BC24" s="571">
        <f t="shared" si="33"/>
        <v>8.0008999999999997</v>
      </c>
      <c r="BD24" s="571">
        <f t="shared" si="34"/>
        <v>12.000999999999999</v>
      </c>
      <c r="BE24" s="569"/>
      <c r="BF24" s="569"/>
      <c r="BG24" s="569"/>
      <c r="BH24" s="569"/>
      <c r="BI24" s="377">
        <f t="shared" si="35"/>
        <v>7</v>
      </c>
      <c r="BJ24" s="377">
        <f t="shared" si="36"/>
        <v>14</v>
      </c>
      <c r="BK24" s="377">
        <f t="shared" si="37"/>
        <v>12</v>
      </c>
      <c r="BL24" s="377">
        <f t="shared" si="38"/>
        <v>13</v>
      </c>
      <c r="BM24" s="377">
        <f t="shared" si="39"/>
        <v>4</v>
      </c>
      <c r="BN24" s="377">
        <f t="shared" si="40"/>
        <v>11</v>
      </c>
      <c r="BO24" s="377">
        <f t="shared" si="41"/>
        <v>5</v>
      </c>
      <c r="BP24" s="377">
        <f t="shared" si="42"/>
        <v>3</v>
      </c>
      <c r="BQ24" s="377">
        <f t="shared" si="43"/>
        <v>11</v>
      </c>
      <c r="BR24" s="377">
        <f t="shared" si="44"/>
        <v>7</v>
      </c>
    </row>
    <row r="25" spans="1:70" x14ac:dyDescent="0.2">
      <c r="A25" s="484" t="str">
        <f t="shared" si="1"/>
        <v/>
      </c>
      <c r="B25" s="485">
        <f t="shared" si="2"/>
        <v>-981</v>
      </c>
      <c r="C25" s="486">
        <f t="shared" si="3"/>
        <v>8</v>
      </c>
      <c r="D25" s="487">
        <f t="shared" si="4"/>
        <v>19</v>
      </c>
      <c r="E25" s="488">
        <f t="shared" si="5"/>
        <v>19</v>
      </c>
      <c r="F25" s="489">
        <f t="shared" si="6"/>
        <v>19</v>
      </c>
      <c r="G25" s="490" t="str">
        <f t="shared" si="7"/>
        <v/>
      </c>
      <c r="H25" s="489">
        <f t="shared" si="8"/>
        <v>-981</v>
      </c>
      <c r="I25" s="491" t="str">
        <f t="shared" si="9"/>
        <v/>
      </c>
      <c r="J25" s="554">
        <f t="shared" si="10"/>
        <v>-981</v>
      </c>
      <c r="K25" s="526">
        <f t="shared" si="11"/>
        <v>19</v>
      </c>
      <c r="L25" s="555" t="s">
        <v>407</v>
      </c>
      <c r="M25" s="556"/>
      <c r="N25" s="557" t="s">
        <v>168</v>
      </c>
      <c r="O25" s="558"/>
      <c r="P25" s="559" t="s">
        <v>269</v>
      </c>
      <c r="Q25" s="560" t="s">
        <v>417</v>
      </c>
      <c r="R25" s="539">
        <f>(IF(COUNT(Z25,AA25,AB25,AC25,AD25,AE25,AF25,AG25,AH25,AI25)&lt;10,SUM(Z25,AA25,AB25,AC25,AD25,AE25,AF25,AG25,AH25,AI25),SUM(LARGE((Z25,AA25,AB25,AC25,AD25,AE25,AF25,AG25,AH25,AI25),{1;2;3;4;5;6;7;8;9}))))</f>
        <v>108</v>
      </c>
      <c r="S25" s="561" t="str">
        <f>INDEX([1]ETAPP!B$1:B$32,MATCH(COUNTIF(BI25:BR25,1),[1]ETAPP!A$1:A$32,0))&amp;INDEX([1]ETAPP!B$1:B$32,MATCH(COUNTIF(BI25:BR25,2),[1]ETAPP!A$1:A$32,0))&amp;INDEX([1]ETAPP!B$1:B$32,MATCH(COUNTIF(BI25:BR25,3),[1]ETAPP!A$1:A$32,0))&amp;INDEX([1]ETAPP!B$1:B$32,MATCH(COUNTIF(BI25:BR25,4),[1]ETAPP!A$1:A$32,0))&amp;INDEX([1]ETAPP!B$1:B$32,MATCH(COUNTIF(BI25:BR25,5),[1]ETAPP!A$1:A$32,0))&amp;INDEX([1]ETAPP!B$1:B$32,MATCH(COUNTIF(BI25:BR25,6),[1]ETAPP!A$1:A$32,0))&amp;INDEX([1]ETAPP!B$1:B$32,MATCH(COUNTIF(BI25:BR25,7),[1]ETAPP!A$1:A$32,0))&amp;INDEX([1]ETAPP!B$1:B$32,MATCH(COUNTIF(BI25:BR25,8),[1]ETAPP!A$1:A$32,0))&amp;INDEX([1]ETAPP!B$1:B$32,MATCH(COUNTIF(BI25:BR25,9),[1]ETAPP!A$1:A$32,0))&amp;INDEX([1]ETAPP!B$1:B$32,MATCH(COUNTIF(BI25:BR25,10),[1]ETAPP!A$1:A$32,0))&amp;INDEX([1]ETAPP!B$1:B$32,MATCH(COUNTIF(BI25:BR25,11),[1]ETAPP!A$1:A$32,0))&amp;INDEX([1]ETAPP!B$1:B$32,MATCH(COUNTIF(BI25:BR25,12),[1]ETAPP!A$1:A$32,0))&amp;INDEX([1]ETAPP!B$1:B$32,MATCH(COUNTIF(BI25:BR25,13),[1]ETAPP!A$1:A$32,0))&amp;INDEX([1]ETAPP!B$1:B$32,MATCH(COUNTIF(BI25:BR25,14),[1]ETAPP!A$1:A$32,0))&amp;INDEX([1]ETAPP!B$1:B$32,MATCH(COUNTIF(BI25:BR25,15),[1]ETAPP!A$1:A$32,0))&amp;INDEX([1]ETAPP!B$1:B$32,MATCH(COUNTIF(BI25:BR25,16),[1]ETAPP!A$1:A$32,0))&amp;INDEX([1]ETAPP!B$1:B$32,MATCH(COUNTIF(BI25:BR25,17),[1]ETAPP!A$1:A$32,0))&amp;INDEX([1]ETAPP!B$1:B$32,MATCH(COUNTIF(BI25:BR25,18),[1]ETAPP!A$1:A$32,0))&amp;INDEX([1]ETAPP!B$1:B$32,MATCH(COUNTIF(BI25:BR25,19),[1]ETAPP!A$1:A$32,0))&amp;INDEX([1]ETAPP!B$1:B$32,MATCH(COUNTIF(BI25:BR25,20),[1]ETAPP!A$1:A$32,0))&amp;INDEX([1]ETAPP!B$1:B$32,MATCH(COUNTIF(BI25:BR25,21),[1]ETAPP!A$1:A$32,0))</f>
        <v>00ABA00AA000000A00000</v>
      </c>
      <c r="T25" s="561" t="str">
        <f t="shared" si="12"/>
        <v>108,0-00ABA00AA000000A00000</v>
      </c>
      <c r="U25" s="561">
        <f t="shared" si="13"/>
        <v>19</v>
      </c>
      <c r="V25" s="561">
        <f t="shared" si="14"/>
        <v>53</v>
      </c>
      <c r="W25" s="561" t="str">
        <f t="shared" si="15"/>
        <v>108,0-00ABA00AA000000A00000-053</v>
      </c>
      <c r="X25" s="561">
        <f t="shared" si="16"/>
        <v>19</v>
      </c>
      <c r="Y25" s="562">
        <f t="shared" si="17"/>
        <v>96</v>
      </c>
      <c r="Z25" s="563" t="str">
        <f>IFERROR(INDEX('V1'!C$300:C$400,MATCH("*"&amp;L25&amp;"*",'V1'!B$300:B$400,0)),"  ")</f>
        <v xml:space="preserve">  </v>
      </c>
      <c r="AA25" s="563" t="str">
        <f>IFERROR(INDEX('V2'!C$300:C$400,MATCH("*"&amp;L25&amp;"*",'V2'!B$300:B$400,0)),"  ")</f>
        <v xml:space="preserve">  </v>
      </c>
      <c r="AB25" s="563">
        <f>IFERROR(INDEX('V3'!C$300:C$400,MATCH("*"&amp;L25&amp;"*",'V3'!B$300:B$400,0)),"  ")</f>
        <v>26</v>
      </c>
      <c r="AC25" s="563">
        <f>IFERROR(INDEX('V4'!C$300:C$400,MATCH("*"&amp;L25&amp;"*",'V4'!B$300:B$400,0)),"  ")</f>
        <v>20</v>
      </c>
      <c r="AD25" s="563">
        <f>IFERROR(INDEX('V5'!C$300:C$400,MATCH("*"&amp;L25&amp;"*",'V5'!B$300:B$400,0)),"  ")</f>
        <v>6</v>
      </c>
      <c r="AE25" s="563">
        <f>IFERROR(INDEX('V6'!C$300:C$400,MATCH("*"&amp;L25&amp;"*",'V6'!B$300:B$400,0)),"  ")</f>
        <v>26</v>
      </c>
      <c r="AF25" s="563">
        <f>IFERROR(INDEX('V7'!C$300:C$400,MATCH("*"&amp;L25&amp;"*",'V7'!B$300:B$400,0)),"  ")</f>
        <v>4</v>
      </c>
      <c r="AG25" s="563">
        <f>IFERROR(INDEX('V8'!C$300:C$400,MATCH("*"&amp;L25&amp;"*",'V8'!B$300:B$400,0)),"  ")</f>
        <v>12</v>
      </c>
      <c r="AH25" s="563">
        <f>IFERROR(INDEX('V9'!C$300:C$400,MATCH("*"&amp;L25&amp;"*",'V9'!B$300:B$400,0)),"  ")</f>
        <v>14</v>
      </c>
      <c r="AI25" s="563" t="str">
        <f>IFERROR(INDEX('V10'!C$300:C$400,MATCH("*"&amp;L25&amp;"*",'V10'!B$300:B$400,0)),"  ")</f>
        <v xml:space="preserve">  </v>
      </c>
      <c r="AJ25" s="564">
        <f t="shared" si="18"/>
        <v>19</v>
      </c>
      <c r="AK25" s="565">
        <f t="shared" si="19"/>
        <v>108</v>
      </c>
      <c r="AL25" s="566" t="str">
        <f t="shared" si="20"/>
        <v>edasi 19</v>
      </c>
      <c r="AM25" s="567" t="str">
        <f>IFERROR(INDEX(#REF!,MATCH("*"&amp;L25&amp;"*",#REF!,0)),"  ")</f>
        <v xml:space="preserve">  </v>
      </c>
      <c r="AN25" s="568">
        <f t="shared" si="21"/>
        <v>7</v>
      </c>
      <c r="AO25" s="469">
        <f t="shared" si="22"/>
        <v>1</v>
      </c>
      <c r="AP25" s="469">
        <f t="shared" si="23"/>
        <v>0</v>
      </c>
      <c r="AQ25" s="569"/>
      <c r="AR25" s="569"/>
      <c r="AS25" s="569"/>
      <c r="AT25" s="570">
        <f t="shared" si="24"/>
        <v>1E-4</v>
      </c>
      <c r="AU25" s="571">
        <f t="shared" si="25"/>
        <v>1E-4</v>
      </c>
      <c r="AV25" s="571">
        <f t="shared" si="26"/>
        <v>2.0000000000000001E-4</v>
      </c>
      <c r="AW25" s="571">
        <f t="shared" si="27"/>
        <v>26.000299999999999</v>
      </c>
      <c r="AX25" s="571">
        <f t="shared" si="28"/>
        <v>20.000399999999999</v>
      </c>
      <c r="AY25" s="571">
        <f t="shared" si="29"/>
        <v>6.0004999999999997</v>
      </c>
      <c r="AZ25" s="571">
        <f t="shared" si="30"/>
        <v>26.000599999999999</v>
      </c>
      <c r="BA25" s="571">
        <f t="shared" si="31"/>
        <v>4.0007000000000001</v>
      </c>
      <c r="BB25" s="571">
        <f t="shared" si="32"/>
        <v>12.0008</v>
      </c>
      <c r="BC25" s="571">
        <f t="shared" si="33"/>
        <v>14.0009</v>
      </c>
      <c r="BD25" s="571">
        <f t="shared" si="34"/>
        <v>1E-3</v>
      </c>
      <c r="BE25" s="569"/>
      <c r="BF25" s="569"/>
      <c r="BG25" s="569"/>
      <c r="BH25" s="569"/>
      <c r="BI25" s="377" t="e">
        <f t="shared" si="35"/>
        <v>#VALUE!</v>
      </c>
      <c r="BJ25" s="377" t="e">
        <f t="shared" si="36"/>
        <v>#VALUE!</v>
      </c>
      <c r="BK25" s="377">
        <f t="shared" si="37"/>
        <v>3</v>
      </c>
      <c r="BL25" s="377">
        <f t="shared" si="38"/>
        <v>5</v>
      </c>
      <c r="BM25" s="377">
        <f t="shared" si="39"/>
        <v>16</v>
      </c>
      <c r="BN25" s="377">
        <f t="shared" si="40"/>
        <v>4</v>
      </c>
      <c r="BO25" s="377">
        <f t="shared" si="41"/>
        <v>9</v>
      </c>
      <c r="BP25" s="377">
        <f t="shared" si="42"/>
        <v>4</v>
      </c>
      <c r="BQ25" s="377">
        <f t="shared" si="43"/>
        <v>8</v>
      </c>
      <c r="BR25" s="377" t="e">
        <f t="shared" si="44"/>
        <v>#VALUE!</v>
      </c>
    </row>
    <row r="26" spans="1:70" x14ac:dyDescent="0.2">
      <c r="A26" s="484" t="str">
        <f t="shared" si="1"/>
        <v/>
      </c>
      <c r="B26" s="485">
        <f t="shared" si="2"/>
        <v>-980</v>
      </c>
      <c r="C26" s="486" t="str">
        <f t="shared" si="3"/>
        <v/>
      </c>
      <c r="D26" s="487">
        <f t="shared" si="4"/>
        <v>-980</v>
      </c>
      <c r="E26" s="488" t="str">
        <f t="shared" si="5"/>
        <v/>
      </c>
      <c r="F26" s="489">
        <f t="shared" si="6"/>
        <v>-980</v>
      </c>
      <c r="G26" s="490">
        <f t="shared" si="7"/>
        <v>2</v>
      </c>
      <c r="H26" s="489">
        <f t="shared" si="8"/>
        <v>20</v>
      </c>
      <c r="I26" s="491" t="str">
        <f t="shared" si="9"/>
        <v/>
      </c>
      <c r="J26" s="554">
        <f t="shared" si="10"/>
        <v>-980</v>
      </c>
      <c r="K26" s="526">
        <f t="shared" si="11"/>
        <v>20</v>
      </c>
      <c r="L26" s="555" t="s">
        <v>271</v>
      </c>
      <c r="M26" s="556" t="s">
        <v>170</v>
      </c>
      <c r="N26" s="557"/>
      <c r="O26" s="558"/>
      <c r="P26" s="559"/>
      <c r="Q26" s="560"/>
      <c r="R26" s="539">
        <f>(IF(COUNT(Z26,AA26,AB26,AC26,AD26,AE26,AF26,AG26,AH26,AI26)&lt;10,SUM(Z26,AA26,AB26,AC26,AD26,AE26,AF26,AG26,AH26,AI26),SUM(LARGE((Z26,AA26,AB26,AC26,AD26,AE26,AF26,AG26,AH26,AI26),{1;2;3;4;5;6;7;8;9}))))</f>
        <v>106</v>
      </c>
      <c r="S26" s="561" t="str">
        <f>INDEX([1]ETAPP!B$1:B$32,MATCH(COUNTIF(BI26:BR26,1),[1]ETAPP!A$1:A$32,0))&amp;INDEX([1]ETAPP!B$1:B$32,MATCH(COUNTIF(BI26:BR26,2),[1]ETAPP!A$1:A$32,0))&amp;INDEX([1]ETAPP!B$1:B$32,MATCH(COUNTIF(BI26:BR26,3),[1]ETAPP!A$1:A$32,0))&amp;INDEX([1]ETAPP!B$1:B$32,MATCH(COUNTIF(BI26:BR26,4),[1]ETAPP!A$1:A$32,0))&amp;INDEX([1]ETAPP!B$1:B$32,MATCH(COUNTIF(BI26:BR26,5),[1]ETAPP!A$1:A$32,0))&amp;INDEX([1]ETAPP!B$1:B$32,MATCH(COUNTIF(BI26:BR26,6),[1]ETAPP!A$1:A$32,0))&amp;INDEX([1]ETAPP!B$1:B$32,MATCH(COUNTIF(BI26:BR26,7),[1]ETAPP!A$1:A$32,0))&amp;INDEX([1]ETAPP!B$1:B$32,MATCH(COUNTIF(BI26:BR26,8),[1]ETAPP!A$1:A$32,0))&amp;INDEX([1]ETAPP!B$1:B$32,MATCH(COUNTIF(BI26:BR26,9),[1]ETAPP!A$1:A$32,0))&amp;INDEX([1]ETAPP!B$1:B$32,MATCH(COUNTIF(BI26:BR26,10),[1]ETAPP!A$1:A$32,0))&amp;INDEX([1]ETAPP!B$1:B$32,MATCH(COUNTIF(BI26:BR26,11),[1]ETAPP!A$1:A$32,0))&amp;INDEX([1]ETAPP!B$1:B$32,MATCH(COUNTIF(BI26:BR26,12),[1]ETAPP!A$1:A$32,0))&amp;INDEX([1]ETAPP!B$1:B$32,MATCH(COUNTIF(BI26:BR26,13),[1]ETAPP!A$1:A$32,0))&amp;INDEX([1]ETAPP!B$1:B$32,MATCH(COUNTIF(BI26:BR26,14),[1]ETAPP!A$1:A$32,0))&amp;INDEX([1]ETAPP!B$1:B$32,MATCH(COUNTIF(BI26:BR26,15),[1]ETAPP!A$1:A$32,0))&amp;INDEX([1]ETAPP!B$1:B$32,MATCH(COUNTIF(BI26:BR26,16),[1]ETAPP!A$1:A$32,0))&amp;INDEX([1]ETAPP!B$1:B$32,MATCH(COUNTIF(BI26:BR26,17),[1]ETAPP!A$1:A$32,0))&amp;INDEX([1]ETAPP!B$1:B$32,MATCH(COUNTIF(BI26:BR26,18),[1]ETAPP!A$1:A$32,0))&amp;INDEX([1]ETAPP!B$1:B$32,MATCH(COUNTIF(BI26:BR26,19),[1]ETAPP!A$1:A$32,0))&amp;INDEX([1]ETAPP!B$1:B$32,MATCH(COUNTIF(BI26:BR26,20),[1]ETAPP!A$1:A$32,0))&amp;INDEX([1]ETAPP!B$1:B$32,MATCH(COUNTIF(BI26:BR26,21),[1]ETAPP!A$1:A$32,0))</f>
        <v>0AAA0000AA00A00000000</v>
      </c>
      <c r="T26" s="561" t="str">
        <f t="shared" si="12"/>
        <v>106,0-0AAA0000AA00A00000000</v>
      </c>
      <c r="U26" s="561">
        <f t="shared" si="13"/>
        <v>20</v>
      </c>
      <c r="V26" s="561">
        <f t="shared" si="14"/>
        <v>5</v>
      </c>
      <c r="W26" s="561" t="str">
        <f t="shared" si="15"/>
        <v>106,0-0AAA0000AA00A00000000-005</v>
      </c>
      <c r="X26" s="561">
        <f t="shared" si="16"/>
        <v>20</v>
      </c>
      <c r="Y26" s="562">
        <f t="shared" si="17"/>
        <v>95</v>
      </c>
      <c r="Z26" s="563" t="str">
        <f>IFERROR(INDEX('V1'!C$300:C$400,MATCH("*"&amp;L26&amp;"*",'V1'!B$300:B$400,0)),"  ")</f>
        <v xml:space="preserve">  </v>
      </c>
      <c r="AA26" s="563">
        <f>IFERROR(INDEX('V2'!C$300:C$400,MATCH("*"&amp;L26&amp;"*",'V2'!B$300:B$400,0)),"  ")</f>
        <v>14</v>
      </c>
      <c r="AB26" s="563">
        <f>IFERROR(INDEX('V3'!C$300:C$400,MATCH("*"&amp;L26&amp;"*",'V3'!B$300:B$400,0)),"  ")</f>
        <v>12</v>
      </c>
      <c r="AC26" s="563">
        <f>IFERROR(INDEX('V4'!C$300:C$400,MATCH("*"&amp;L26&amp;"*",'V4'!B$300:B$400,0)),"  ")</f>
        <v>24</v>
      </c>
      <c r="AD26" s="563">
        <f>IFERROR(INDEX('V5'!C$300:C$400,MATCH("*"&amp;L26&amp;"*",'V5'!B$300:B$400,0)),"  ")</f>
        <v>34</v>
      </c>
      <c r="AE26" s="563" t="str">
        <f>IFERROR(INDEX('V6'!C$300:C$400,MATCH("*"&amp;L26&amp;"*",'V6'!B$300:B$400,0)),"  ")</f>
        <v xml:space="preserve">  </v>
      </c>
      <c r="AF26" s="563" t="str">
        <f>IFERROR(INDEX('V7'!C$300:C$400,MATCH("*"&amp;L26&amp;"*",'V7'!B$300:B$400,0)),"  ")</f>
        <v xml:space="preserve">  </v>
      </c>
      <c r="AG26" s="563" t="str">
        <f>IFERROR(INDEX('V8'!C$300:C$400,MATCH("*"&amp;L26&amp;"*",'V8'!B$300:B$400,0)),"  ")</f>
        <v xml:space="preserve">  </v>
      </c>
      <c r="AH26" s="563">
        <f>IFERROR(INDEX('V9'!C$300:C$400,MATCH("*"&amp;L26&amp;"*",'V9'!B$300:B$400,0)),"  ")</f>
        <v>4</v>
      </c>
      <c r="AI26" s="563">
        <f>IFERROR(INDEX('V10'!C$300:C$400,MATCH("*"&amp;L26&amp;"*",'V10'!B$300:B$400,0)),"  ")</f>
        <v>18</v>
      </c>
      <c r="AJ26" s="564">
        <f t="shared" si="18"/>
        <v>20</v>
      </c>
      <c r="AK26" s="565">
        <f t="shared" si="19"/>
        <v>106</v>
      </c>
      <c r="AL26" s="566" t="str">
        <f t="shared" si="20"/>
        <v>edasi 20</v>
      </c>
      <c r="AM26" s="567" t="str">
        <f>IFERROR(INDEX(#REF!,MATCH("*"&amp;L26&amp;"*",#REF!,0)),"  ")</f>
        <v xml:space="preserve">  </v>
      </c>
      <c r="AN26" s="568">
        <f t="shared" si="21"/>
        <v>6</v>
      </c>
      <c r="AO26" s="469">
        <f t="shared" si="22"/>
        <v>2</v>
      </c>
      <c r="AP26" s="469">
        <f t="shared" si="23"/>
        <v>0</v>
      </c>
      <c r="AQ26" s="569"/>
      <c r="AR26" s="569"/>
      <c r="AS26" s="569"/>
      <c r="AT26" s="570">
        <f t="shared" si="24"/>
        <v>1E-4</v>
      </c>
      <c r="AU26" s="571">
        <f t="shared" si="25"/>
        <v>1E-4</v>
      </c>
      <c r="AV26" s="571">
        <f t="shared" si="26"/>
        <v>14.0002</v>
      </c>
      <c r="AW26" s="571">
        <f t="shared" si="27"/>
        <v>12.000299999999999</v>
      </c>
      <c r="AX26" s="571">
        <f t="shared" si="28"/>
        <v>24.000399999999999</v>
      </c>
      <c r="AY26" s="571">
        <f t="shared" si="29"/>
        <v>34.000500000000002</v>
      </c>
      <c r="AZ26" s="571">
        <f t="shared" si="30"/>
        <v>5.9999999999999995E-4</v>
      </c>
      <c r="BA26" s="571">
        <f t="shared" si="31"/>
        <v>6.9999999999999999E-4</v>
      </c>
      <c r="BB26" s="571">
        <f t="shared" si="32"/>
        <v>8.0000000000000004E-4</v>
      </c>
      <c r="BC26" s="571">
        <f t="shared" si="33"/>
        <v>4.0008999999999997</v>
      </c>
      <c r="BD26" s="571">
        <f t="shared" si="34"/>
        <v>18.001000000000001</v>
      </c>
      <c r="BE26" s="569"/>
      <c r="BF26" s="569"/>
      <c r="BG26" s="569"/>
      <c r="BH26" s="569"/>
      <c r="BI26" s="377" t="e">
        <f t="shared" si="35"/>
        <v>#VALUE!</v>
      </c>
      <c r="BJ26" s="377">
        <f t="shared" si="36"/>
        <v>9</v>
      </c>
      <c r="BK26" s="377">
        <f t="shared" si="37"/>
        <v>10</v>
      </c>
      <c r="BL26" s="377">
        <f t="shared" si="38"/>
        <v>3</v>
      </c>
      <c r="BM26" s="377">
        <f t="shared" si="39"/>
        <v>2</v>
      </c>
      <c r="BN26" s="377" t="e">
        <f t="shared" si="40"/>
        <v>#VALUE!</v>
      </c>
      <c r="BO26" s="377" t="e">
        <f t="shared" si="41"/>
        <v>#VALUE!</v>
      </c>
      <c r="BP26" s="377" t="e">
        <f t="shared" si="42"/>
        <v>#VALUE!</v>
      </c>
      <c r="BQ26" s="377">
        <f t="shared" si="43"/>
        <v>13</v>
      </c>
      <c r="BR26" s="377">
        <f t="shared" si="44"/>
        <v>4</v>
      </c>
    </row>
    <row r="27" spans="1:70" x14ac:dyDescent="0.2">
      <c r="A27" s="484">
        <f t="shared" si="1"/>
        <v>17</v>
      </c>
      <c r="B27" s="485">
        <f t="shared" si="2"/>
        <v>21</v>
      </c>
      <c r="C27" s="486" t="str">
        <f t="shared" si="3"/>
        <v/>
      </c>
      <c r="D27" s="487">
        <f t="shared" si="4"/>
        <v>-979</v>
      </c>
      <c r="E27" s="488" t="str">
        <f t="shared" si="5"/>
        <v/>
      </c>
      <c r="F27" s="489">
        <f t="shared" si="6"/>
        <v>-979</v>
      </c>
      <c r="G27" s="490">
        <f t="shared" si="7"/>
        <v>3</v>
      </c>
      <c r="H27" s="489">
        <f t="shared" si="8"/>
        <v>21</v>
      </c>
      <c r="I27" s="491" t="str">
        <f t="shared" si="9"/>
        <v/>
      </c>
      <c r="J27" s="554">
        <f t="shared" si="10"/>
        <v>-979</v>
      </c>
      <c r="K27" s="526">
        <f t="shared" si="11"/>
        <v>21</v>
      </c>
      <c r="L27" s="572" t="s">
        <v>175</v>
      </c>
      <c r="M27" s="556" t="s">
        <v>170</v>
      </c>
      <c r="N27" s="557" t="str">
        <f>IF(M27="","m","")</f>
        <v/>
      </c>
      <c r="O27" s="558"/>
      <c r="P27" s="559"/>
      <c r="Q27" s="560" t="s">
        <v>148</v>
      </c>
      <c r="R27" s="539">
        <f>(IF(COUNT(Z27,AA27,AB27,AC27,AD27,AE27,AF27,AG27,AH27,AI27)&lt;10,SUM(Z27,AA27,AB27,AC27,AD27,AE27,AF27,AG27,AH27,AI27),SUM(LARGE((Z27,AA27,AB27,AC27,AD27,AE27,AF27,AG27,AH27,AI27),{1;2;3;4;5;6;7;8;9}))))</f>
        <v>102</v>
      </c>
      <c r="S27" s="561" t="str">
        <f>INDEX([1]ETAPP!B$1:B$32,MATCH(COUNTIF(BI27:BR27,1),[1]ETAPP!A$1:A$32,0))&amp;INDEX([1]ETAPP!B$1:B$32,MATCH(COUNTIF(BI27:BR27,2),[1]ETAPP!A$1:A$32,0))&amp;INDEX([1]ETAPP!B$1:B$32,MATCH(COUNTIF(BI27:BR27,3),[1]ETAPP!A$1:A$32,0))&amp;INDEX([1]ETAPP!B$1:B$32,MATCH(COUNTIF(BI27:BR27,4),[1]ETAPP!A$1:A$32,0))&amp;INDEX([1]ETAPP!B$1:B$32,MATCH(COUNTIF(BI27:BR27,5),[1]ETAPP!A$1:A$32,0))&amp;INDEX([1]ETAPP!B$1:B$32,MATCH(COUNTIF(BI27:BR27,6),[1]ETAPP!A$1:A$32,0))&amp;INDEX([1]ETAPP!B$1:B$32,MATCH(COUNTIF(BI27:BR27,7),[1]ETAPP!A$1:A$32,0))&amp;INDEX([1]ETAPP!B$1:B$32,MATCH(COUNTIF(BI27:BR27,8),[1]ETAPP!A$1:A$32,0))&amp;INDEX([1]ETAPP!B$1:B$32,MATCH(COUNTIF(BI27:BR27,9),[1]ETAPP!A$1:A$32,0))&amp;INDEX([1]ETAPP!B$1:B$32,MATCH(COUNTIF(BI27:BR27,10),[1]ETAPP!A$1:A$32,0))&amp;INDEX([1]ETAPP!B$1:B$32,MATCH(COUNTIF(BI27:BR27,11),[1]ETAPP!A$1:A$32,0))&amp;INDEX([1]ETAPP!B$1:B$32,MATCH(COUNTIF(BI27:BR27,12),[1]ETAPP!A$1:A$32,0))&amp;INDEX([1]ETAPP!B$1:B$32,MATCH(COUNTIF(BI27:BR27,13),[1]ETAPP!A$1:A$32,0))&amp;INDEX([1]ETAPP!B$1:B$32,MATCH(COUNTIF(BI27:BR27,14),[1]ETAPP!A$1:A$32,0))&amp;INDEX([1]ETAPP!B$1:B$32,MATCH(COUNTIF(BI27:BR27,15),[1]ETAPP!A$1:A$32,0))&amp;INDEX([1]ETAPP!B$1:B$32,MATCH(COUNTIF(BI27:BR27,16),[1]ETAPP!A$1:A$32,0))&amp;INDEX([1]ETAPP!B$1:B$32,MATCH(COUNTIF(BI27:BR27,17),[1]ETAPP!A$1:A$32,0))&amp;INDEX([1]ETAPP!B$1:B$32,MATCH(COUNTIF(BI27:BR27,18),[1]ETAPP!A$1:A$32,0))&amp;INDEX([1]ETAPP!B$1:B$32,MATCH(COUNTIF(BI27:BR27,19),[1]ETAPP!A$1:A$32,0))&amp;INDEX([1]ETAPP!B$1:B$32,MATCH(COUNTIF(BI27:BR27,20),[1]ETAPP!A$1:A$32,0))&amp;INDEX([1]ETAPP!B$1:B$32,MATCH(COUNTIF(BI27:BR27,21),[1]ETAPP!A$1:A$32,0))</f>
        <v>B000A0A000A0BA0000000</v>
      </c>
      <c r="T27" s="561" t="str">
        <f t="shared" si="12"/>
        <v>102,0-B000A0A000A0BA0000000</v>
      </c>
      <c r="U27" s="561">
        <f t="shared" si="13"/>
        <v>21</v>
      </c>
      <c r="V27" s="561">
        <f t="shared" si="14"/>
        <v>21</v>
      </c>
      <c r="W27" s="561" t="str">
        <f t="shared" si="15"/>
        <v>102,0-B000A0A000A0BA0000000-021</v>
      </c>
      <c r="X27" s="561">
        <f t="shared" si="16"/>
        <v>21</v>
      </c>
      <c r="Y27" s="562">
        <f t="shared" si="17"/>
        <v>94</v>
      </c>
      <c r="Z27" s="563" t="str">
        <f>IFERROR(INDEX('V1'!C$300:C$400,MATCH("*"&amp;L27&amp;"*",'V1'!B$300:B$400,0)),"  ")</f>
        <v xml:space="preserve">  </v>
      </c>
      <c r="AA27" s="563" t="str">
        <f>IFERROR(INDEX('V2'!C$300:C$400,MATCH("*"&amp;L27&amp;"*",'V2'!B$300:B$400,0)),"  ")</f>
        <v xml:space="preserve">  </v>
      </c>
      <c r="AB27" s="563">
        <f>IFERROR(INDEX('V3'!C$300:C$400,MATCH("*"&amp;L27&amp;"*",'V3'!B$300:B$400,0)),"  ")</f>
        <v>6</v>
      </c>
      <c r="AC27" s="563">
        <f>IFERROR(INDEX('V4'!C$300:C$400,MATCH("*"&amp;L27&amp;"*",'V4'!B$300:B$400,0)),"  ")</f>
        <v>28</v>
      </c>
      <c r="AD27" s="563">
        <f>IFERROR(INDEX('V5'!C$300:C$400,MATCH("*"&amp;L27&amp;"*",'V5'!B$300:B$400,0)),"  ")</f>
        <v>10</v>
      </c>
      <c r="AE27" s="563">
        <f>IFERROR(INDEX('V6'!C$300:C$400,MATCH("*"&amp;L27&amp;"*",'V6'!B$300:B$400,0)),"  ")</f>
        <v>8</v>
      </c>
      <c r="AF27" s="563">
        <f>IFERROR(INDEX('V7'!C$300:C$400,MATCH("*"&amp;L27&amp;"*",'V7'!B$300:B$400,0)),"  ")</f>
        <v>8</v>
      </c>
      <c r="AG27" s="563">
        <f>IFERROR(INDEX('V8'!C$300:C$400,MATCH("*"&amp;L27&amp;"*",'V8'!B$300:B$400,0)),"  ")</f>
        <v>18</v>
      </c>
      <c r="AH27" s="563">
        <f>IFERROR(INDEX('V9'!C$300:C$400,MATCH("*"&amp;L27&amp;"*",'V9'!B$300:B$400,0)),"  ")</f>
        <v>20</v>
      </c>
      <c r="AI27" s="563">
        <f>IFERROR(INDEX('V10'!C$300:C$400,MATCH("*"&amp;L27&amp;"*",'V10'!B$300:B$400,0)),"  ")</f>
        <v>4</v>
      </c>
      <c r="AJ27" s="564">
        <f t="shared" si="18"/>
        <v>21</v>
      </c>
      <c r="AK27" s="565">
        <f t="shared" si="19"/>
        <v>102</v>
      </c>
      <c r="AL27" s="566" t="str">
        <f t="shared" si="20"/>
        <v>edasi 21</v>
      </c>
      <c r="AM27" s="567" t="str">
        <f>IFERROR(INDEX(#REF!,MATCH("*"&amp;L27&amp;"*",#REF!,0)),"  ")</f>
        <v xml:space="preserve">  </v>
      </c>
      <c r="AN27" s="568">
        <f t="shared" si="21"/>
        <v>8</v>
      </c>
      <c r="AO27" s="469">
        <f t="shared" si="22"/>
        <v>2</v>
      </c>
      <c r="AP27" s="469">
        <f t="shared" si="23"/>
        <v>2</v>
      </c>
      <c r="AQ27" s="569"/>
      <c r="AR27" s="569"/>
      <c r="AS27" s="569"/>
      <c r="AT27" s="570">
        <f t="shared" si="24"/>
        <v>1E-4</v>
      </c>
      <c r="AU27" s="571">
        <f t="shared" si="25"/>
        <v>1E-4</v>
      </c>
      <c r="AV27" s="571">
        <f t="shared" si="26"/>
        <v>2.0000000000000001E-4</v>
      </c>
      <c r="AW27" s="571">
        <f t="shared" si="27"/>
        <v>6.0003000000000002</v>
      </c>
      <c r="AX27" s="571">
        <f t="shared" si="28"/>
        <v>28.000399999999999</v>
      </c>
      <c r="AY27" s="571">
        <f t="shared" si="29"/>
        <v>10.000500000000001</v>
      </c>
      <c r="AZ27" s="571">
        <f t="shared" si="30"/>
        <v>8.0006000000000004</v>
      </c>
      <c r="BA27" s="571">
        <f t="shared" si="31"/>
        <v>8.0007000000000001</v>
      </c>
      <c r="BB27" s="571">
        <f t="shared" si="32"/>
        <v>18.000800000000002</v>
      </c>
      <c r="BC27" s="571">
        <f t="shared" si="33"/>
        <v>20.000900000000001</v>
      </c>
      <c r="BD27" s="571">
        <f t="shared" si="34"/>
        <v>4.0010000000000003</v>
      </c>
      <c r="BE27" s="569"/>
      <c r="BF27" s="569"/>
      <c r="BG27" s="569"/>
      <c r="BH27" s="569"/>
      <c r="BI27" s="377" t="e">
        <f t="shared" si="35"/>
        <v>#VALUE!</v>
      </c>
      <c r="BJ27" s="377" t="e">
        <f t="shared" si="36"/>
        <v>#VALUE!</v>
      </c>
      <c r="BK27" s="377">
        <f t="shared" si="37"/>
        <v>13</v>
      </c>
      <c r="BL27" s="377">
        <f t="shared" si="38"/>
        <v>1</v>
      </c>
      <c r="BM27" s="377">
        <f t="shared" si="39"/>
        <v>14</v>
      </c>
      <c r="BN27" s="377">
        <f t="shared" si="40"/>
        <v>13</v>
      </c>
      <c r="BO27" s="377">
        <f t="shared" si="41"/>
        <v>7</v>
      </c>
      <c r="BP27" s="377">
        <f t="shared" si="42"/>
        <v>1</v>
      </c>
      <c r="BQ27" s="377">
        <f t="shared" si="43"/>
        <v>5</v>
      </c>
      <c r="BR27" s="377">
        <f t="shared" si="44"/>
        <v>11</v>
      </c>
    </row>
    <row r="28" spans="1:70" x14ac:dyDescent="0.2">
      <c r="A28" s="484">
        <f t="shared" si="1"/>
        <v>18</v>
      </c>
      <c r="B28" s="485">
        <f t="shared" si="2"/>
        <v>22</v>
      </c>
      <c r="C28" s="486" t="str">
        <f t="shared" si="3"/>
        <v/>
      </c>
      <c r="D28" s="487">
        <f t="shared" si="4"/>
        <v>-978</v>
      </c>
      <c r="E28" s="488" t="str">
        <f t="shared" si="5"/>
        <v/>
      </c>
      <c r="F28" s="489">
        <f t="shared" si="6"/>
        <v>-978</v>
      </c>
      <c r="G28" s="490">
        <f t="shared" si="7"/>
        <v>4</v>
      </c>
      <c r="H28" s="489">
        <f t="shared" si="8"/>
        <v>22</v>
      </c>
      <c r="I28" s="491" t="str">
        <f t="shared" si="9"/>
        <v/>
      </c>
      <c r="J28" s="554">
        <f t="shared" si="10"/>
        <v>-978</v>
      </c>
      <c r="K28" s="526">
        <f t="shared" si="11"/>
        <v>22</v>
      </c>
      <c r="L28" s="555" t="s">
        <v>185</v>
      </c>
      <c r="M28" s="556" t="s">
        <v>170</v>
      </c>
      <c r="N28" s="557" t="str">
        <f>IF(M28="","m","")</f>
        <v/>
      </c>
      <c r="O28" s="558"/>
      <c r="P28" s="559"/>
      <c r="Q28" s="560" t="s">
        <v>148</v>
      </c>
      <c r="R28" s="539">
        <f>(IF(COUNT(Z28,AA28,AB28,AC28,AD28,AE28,AF28,AG28,AH28,AI28)&lt;10,SUM(Z28,AA28,AB28,AC28,AD28,AE28,AF28,AG28,AH28,AI28),SUM(LARGE((Z28,AA28,AB28,AC28,AD28,AE28,AF28,AG28,AH28,AI28),{1;2;3;4;5;6;7;8;9}))))</f>
        <v>102</v>
      </c>
      <c r="S28" s="561" t="str">
        <f>INDEX([1]ETAPP!B$1:B$32,MATCH(COUNTIF(BI28:BR28,1),[1]ETAPP!A$1:A$32,0))&amp;INDEX([1]ETAPP!B$1:B$32,MATCH(COUNTIF(BI28:BR28,2),[1]ETAPP!A$1:A$32,0))&amp;INDEX([1]ETAPP!B$1:B$32,MATCH(COUNTIF(BI28:BR28,3),[1]ETAPP!A$1:A$32,0))&amp;INDEX([1]ETAPP!B$1:B$32,MATCH(COUNTIF(BI28:BR28,4),[1]ETAPP!A$1:A$32,0))&amp;INDEX([1]ETAPP!B$1:B$32,MATCH(COUNTIF(BI28:BR28,5),[1]ETAPP!A$1:A$32,0))&amp;INDEX([1]ETAPP!B$1:B$32,MATCH(COUNTIF(BI28:BR28,6),[1]ETAPP!A$1:A$32,0))&amp;INDEX([1]ETAPP!B$1:B$32,MATCH(COUNTIF(BI28:BR28,7),[1]ETAPP!A$1:A$32,0))&amp;INDEX([1]ETAPP!B$1:B$32,MATCH(COUNTIF(BI28:BR28,8),[1]ETAPP!A$1:A$32,0))&amp;INDEX([1]ETAPP!B$1:B$32,MATCH(COUNTIF(BI28:BR28,9),[1]ETAPP!A$1:A$32,0))&amp;INDEX([1]ETAPP!B$1:B$32,MATCH(COUNTIF(BI28:BR28,10),[1]ETAPP!A$1:A$32,0))&amp;INDEX([1]ETAPP!B$1:B$32,MATCH(COUNTIF(BI28:BR28,11),[1]ETAPP!A$1:A$32,0))&amp;INDEX([1]ETAPP!B$1:B$32,MATCH(COUNTIF(BI28:BR28,12),[1]ETAPP!A$1:A$32,0))&amp;INDEX([1]ETAPP!B$1:B$32,MATCH(COUNTIF(BI28:BR28,13),[1]ETAPP!A$1:A$32,0))&amp;INDEX([1]ETAPP!B$1:B$32,MATCH(COUNTIF(BI28:BR28,14),[1]ETAPP!A$1:A$32,0))&amp;INDEX([1]ETAPP!B$1:B$32,MATCH(COUNTIF(BI28:BR28,15),[1]ETAPP!A$1:A$32,0))&amp;INDEX([1]ETAPP!B$1:B$32,MATCH(COUNTIF(BI28:BR28,16),[1]ETAPP!A$1:A$32,0))&amp;INDEX([1]ETAPP!B$1:B$32,MATCH(COUNTIF(BI28:BR28,17),[1]ETAPP!A$1:A$32,0))&amp;INDEX([1]ETAPP!B$1:B$32,MATCH(COUNTIF(BI28:BR28,18),[1]ETAPP!A$1:A$32,0))&amp;INDEX([1]ETAPP!B$1:B$32,MATCH(COUNTIF(BI28:BR28,19),[1]ETAPP!A$1:A$32,0))&amp;INDEX([1]ETAPP!B$1:B$32,MATCH(COUNTIF(BI28:BR28,20),[1]ETAPP!A$1:A$32,0))&amp;INDEX([1]ETAPP!B$1:B$32,MATCH(COUNTIF(BI28:BR28,21),[1]ETAPP!A$1:A$32,0))</f>
        <v>0A000B0AAA00000000000</v>
      </c>
      <c r="T28" s="561" t="str">
        <f t="shared" si="12"/>
        <v>102,0-0A000B0AAA00000000000</v>
      </c>
      <c r="U28" s="561">
        <f t="shared" si="13"/>
        <v>22</v>
      </c>
      <c r="V28" s="561">
        <f t="shared" si="14"/>
        <v>56</v>
      </c>
      <c r="W28" s="561" t="str">
        <f t="shared" si="15"/>
        <v>102,0-0A000B0AAA00000000000-056</v>
      </c>
      <c r="X28" s="561">
        <f t="shared" si="16"/>
        <v>22</v>
      </c>
      <c r="Y28" s="562">
        <f t="shared" si="17"/>
        <v>93</v>
      </c>
      <c r="Z28" s="563" t="str">
        <f>IFERROR(INDEX('V1'!C$300:C$400,MATCH("*"&amp;L28&amp;"*",'V1'!B$300:B$400,0)),"  ")</f>
        <v xml:space="preserve">  </v>
      </c>
      <c r="AA28" s="563">
        <f>IFERROR(INDEX('V2'!C$300:C$400,MATCH("*"&amp;L28&amp;"*",'V2'!B$300:B$400,0)),"  ")</f>
        <v>16</v>
      </c>
      <c r="AB28" s="563">
        <f>IFERROR(INDEX('V3'!C$300:C$400,MATCH("*"&amp;L28&amp;"*",'V3'!B$300:B$400,0)),"  ")</f>
        <v>20</v>
      </c>
      <c r="AC28" s="563">
        <f>IFERROR(INDEX('V4'!C$300:C$400,MATCH("*"&amp;L28&amp;"*",'V4'!B$300:B$400,0)),"  ")</f>
        <v>10</v>
      </c>
      <c r="AD28" s="563" t="str">
        <f>IFERROR(INDEX('V5'!C$300:C$400,MATCH("*"&amp;L28&amp;"*",'V5'!B$300:B$400,0)),"  ")</f>
        <v xml:space="preserve">  </v>
      </c>
      <c r="AE28" s="563">
        <f>IFERROR(INDEX('V6'!C$300:C$400,MATCH("*"&amp;L28&amp;"*",'V6'!B$300:B$400,0)),"  ")</f>
        <v>30</v>
      </c>
      <c r="AF28" s="563" t="str">
        <f>IFERROR(INDEX('V7'!C$300:C$400,MATCH("*"&amp;L28&amp;"*",'V7'!B$300:B$400,0)),"  ")</f>
        <v xml:space="preserve">  </v>
      </c>
      <c r="AG28" s="563" t="str">
        <f>IFERROR(INDEX('V8'!C$300:C$400,MATCH("*"&amp;L28&amp;"*",'V8'!B$300:B$400,0)),"  ")</f>
        <v xml:space="preserve">  </v>
      </c>
      <c r="AH28" s="563">
        <f>IFERROR(INDEX('V9'!C$300:C$400,MATCH("*"&amp;L28&amp;"*",'V9'!B$300:B$400,0)),"  ")</f>
        <v>12</v>
      </c>
      <c r="AI28" s="563">
        <f>IFERROR(INDEX('V10'!C$300:C$400,MATCH("*"&amp;L28&amp;"*",'V10'!B$300:B$400,0)),"  ")</f>
        <v>14</v>
      </c>
      <c r="AJ28" s="564">
        <f t="shared" si="18"/>
        <v>22</v>
      </c>
      <c r="AK28" s="565">
        <f t="shared" si="19"/>
        <v>102</v>
      </c>
      <c r="AL28" s="566" t="str">
        <f t="shared" si="20"/>
        <v>edasi 22</v>
      </c>
      <c r="AM28" s="567" t="str">
        <f>IFERROR(INDEX(#REF!,MATCH("*"&amp;L28&amp;"*",#REF!,0)),"  ")</f>
        <v xml:space="preserve">  </v>
      </c>
      <c r="AN28" s="568">
        <f t="shared" si="21"/>
        <v>6</v>
      </c>
      <c r="AO28" s="469">
        <f t="shared" si="22"/>
        <v>1</v>
      </c>
      <c r="AP28" s="469">
        <f t="shared" si="23"/>
        <v>0</v>
      </c>
      <c r="AQ28" s="569"/>
      <c r="AR28" s="569"/>
      <c r="AS28" s="569"/>
      <c r="AT28" s="570">
        <f t="shared" si="24"/>
        <v>1E-4</v>
      </c>
      <c r="AU28" s="571">
        <f t="shared" si="25"/>
        <v>1E-4</v>
      </c>
      <c r="AV28" s="571">
        <f t="shared" si="26"/>
        <v>16.0002</v>
      </c>
      <c r="AW28" s="571">
        <f t="shared" si="27"/>
        <v>20.000299999999999</v>
      </c>
      <c r="AX28" s="571">
        <f t="shared" si="28"/>
        <v>10.000400000000001</v>
      </c>
      <c r="AY28" s="571">
        <f t="shared" si="29"/>
        <v>5.0000000000000001E-4</v>
      </c>
      <c r="AZ28" s="571">
        <f t="shared" si="30"/>
        <v>30.000599999999999</v>
      </c>
      <c r="BA28" s="571">
        <f t="shared" si="31"/>
        <v>6.9999999999999999E-4</v>
      </c>
      <c r="BB28" s="571">
        <f t="shared" si="32"/>
        <v>8.0000000000000004E-4</v>
      </c>
      <c r="BC28" s="571">
        <f t="shared" si="33"/>
        <v>12.0009</v>
      </c>
      <c r="BD28" s="571">
        <f t="shared" si="34"/>
        <v>14.000999999999999</v>
      </c>
      <c r="BE28" s="569"/>
      <c r="BF28" s="569"/>
      <c r="BG28" s="569"/>
      <c r="BH28" s="569"/>
      <c r="BI28" s="377" t="e">
        <f t="shared" si="35"/>
        <v>#VALUE!</v>
      </c>
      <c r="BJ28" s="377">
        <f t="shared" si="36"/>
        <v>8</v>
      </c>
      <c r="BK28" s="377">
        <f t="shared" si="37"/>
        <v>6</v>
      </c>
      <c r="BL28" s="377">
        <f t="shared" si="38"/>
        <v>10</v>
      </c>
      <c r="BM28" s="377" t="e">
        <f t="shared" si="39"/>
        <v>#VALUE!</v>
      </c>
      <c r="BN28" s="377">
        <f t="shared" si="40"/>
        <v>2</v>
      </c>
      <c r="BO28" s="377" t="e">
        <f t="shared" si="41"/>
        <v>#VALUE!</v>
      </c>
      <c r="BP28" s="377" t="e">
        <f t="shared" si="42"/>
        <v>#VALUE!</v>
      </c>
      <c r="BQ28" s="377">
        <f t="shared" si="43"/>
        <v>9</v>
      </c>
      <c r="BR28" s="377">
        <f t="shared" si="44"/>
        <v>6</v>
      </c>
    </row>
    <row r="29" spans="1:70" x14ac:dyDescent="0.2">
      <c r="A29" s="484">
        <f t="shared" si="1"/>
        <v>19</v>
      </c>
      <c r="B29" s="485">
        <f t="shared" si="2"/>
        <v>23</v>
      </c>
      <c r="C29" s="486">
        <f t="shared" si="3"/>
        <v>9</v>
      </c>
      <c r="D29" s="487">
        <f t="shared" si="4"/>
        <v>23</v>
      </c>
      <c r="E29" s="488">
        <f t="shared" si="5"/>
        <v>20</v>
      </c>
      <c r="F29" s="489">
        <f t="shared" si="6"/>
        <v>23</v>
      </c>
      <c r="G29" s="490" t="str">
        <f t="shared" si="7"/>
        <v/>
      </c>
      <c r="H29" s="489">
        <f t="shared" si="8"/>
        <v>-977</v>
      </c>
      <c r="I29" s="491" t="str">
        <f t="shared" si="9"/>
        <v/>
      </c>
      <c r="J29" s="554">
        <f t="shared" si="10"/>
        <v>-977</v>
      </c>
      <c r="K29" s="526">
        <f t="shared" si="11"/>
        <v>23</v>
      </c>
      <c r="L29" s="580" t="s">
        <v>75</v>
      </c>
      <c r="M29" s="581"/>
      <c r="N29" s="582" t="str">
        <f>IF(M29="","m","")</f>
        <v>m</v>
      </c>
      <c r="O29" s="583"/>
      <c r="P29" s="584" t="s">
        <v>269</v>
      </c>
      <c r="Q29" s="560" t="s">
        <v>148</v>
      </c>
      <c r="R29" s="539">
        <f>(IF(COUNT(Z29,AA29,AB29,AC29,AD29,AE29,AF29,AG29,AH29,AI29)&lt;10,SUM(Z29,AA29,AB29,AC29,AD29,AE29,AF29,AG29,AH29,AI29),SUM(LARGE((Z29,AA29,AB29,AC29,AD29,AE29,AF29,AG29,AH29,AI29),{1;2;3;4;5;6;7;8;9}))))</f>
        <v>94</v>
      </c>
      <c r="S29" s="561" t="str">
        <f>INDEX([1]ETAPP!B$1:B$32,MATCH(COUNTIF(BI29:BR29,1),[1]ETAPP!A$1:A$32,0))&amp;INDEX([1]ETAPP!B$1:B$32,MATCH(COUNTIF(BI29:BR29,2),[1]ETAPP!A$1:A$32,0))&amp;INDEX([1]ETAPP!B$1:B$32,MATCH(COUNTIF(BI29:BR29,3),[1]ETAPP!A$1:A$32,0))&amp;INDEX([1]ETAPP!B$1:B$32,MATCH(COUNTIF(BI29:BR29,4),[1]ETAPP!A$1:A$32,0))&amp;INDEX([1]ETAPP!B$1:B$32,MATCH(COUNTIF(BI29:BR29,5),[1]ETAPP!A$1:A$32,0))&amp;INDEX([1]ETAPP!B$1:B$32,MATCH(COUNTIF(BI29:BR29,6),[1]ETAPP!A$1:A$32,0))&amp;INDEX([1]ETAPP!B$1:B$32,MATCH(COUNTIF(BI29:BR29,7),[1]ETAPP!A$1:A$32,0))&amp;INDEX([1]ETAPP!B$1:B$32,MATCH(COUNTIF(BI29:BR29,8),[1]ETAPP!A$1:A$32,0))&amp;INDEX([1]ETAPP!B$1:B$32,MATCH(COUNTIF(BI29:BR29,9),[1]ETAPP!A$1:A$32,0))&amp;INDEX([1]ETAPP!B$1:B$32,MATCH(COUNTIF(BI29:BR29,10),[1]ETAPP!A$1:A$32,0))&amp;INDEX([1]ETAPP!B$1:B$32,MATCH(COUNTIF(BI29:BR29,11),[1]ETAPP!A$1:A$32,0))&amp;INDEX([1]ETAPP!B$1:B$32,MATCH(COUNTIF(BI29:BR29,12),[1]ETAPP!A$1:A$32,0))&amp;INDEX([1]ETAPP!B$1:B$32,MATCH(COUNTIF(BI29:BR29,13),[1]ETAPP!A$1:A$32,0))&amp;INDEX([1]ETAPP!B$1:B$32,MATCH(COUNTIF(BI29:BR29,14),[1]ETAPP!A$1:A$32,0))&amp;INDEX([1]ETAPP!B$1:B$32,MATCH(COUNTIF(BI29:BR29,15),[1]ETAPP!A$1:A$32,0))&amp;INDEX([1]ETAPP!B$1:B$32,MATCH(COUNTIF(BI29:BR29,16),[1]ETAPP!A$1:A$32,0))&amp;INDEX([1]ETAPP!B$1:B$32,MATCH(COUNTIF(BI29:BR29,17),[1]ETAPP!A$1:A$32,0))&amp;INDEX([1]ETAPP!B$1:B$32,MATCH(COUNTIF(BI29:BR29,18),[1]ETAPP!A$1:A$32,0))&amp;INDEX([1]ETAPP!B$1:B$32,MATCH(COUNTIF(BI29:BR29,19),[1]ETAPP!A$1:A$32,0))&amp;INDEX([1]ETAPP!B$1:B$32,MATCH(COUNTIF(BI29:BR29,20),[1]ETAPP!A$1:A$32,0))&amp;INDEX([1]ETAPP!B$1:B$32,MATCH(COUNTIF(BI29:BR29,21),[1]ETAPP!A$1:A$32,0))</f>
        <v>00000BAA0BAAA00000000</v>
      </c>
      <c r="T29" s="561" t="str">
        <f t="shared" si="12"/>
        <v>094,0-00000BAA0BAAA00000000</v>
      </c>
      <c r="U29" s="561">
        <f t="shared" si="13"/>
        <v>23</v>
      </c>
      <c r="V29" s="561">
        <f t="shared" si="14"/>
        <v>73</v>
      </c>
      <c r="W29" s="561" t="str">
        <f t="shared" si="15"/>
        <v>094,0-00000BAA0BAAA00000000-073</v>
      </c>
      <c r="X29" s="561">
        <f t="shared" si="16"/>
        <v>23</v>
      </c>
      <c r="Y29" s="562">
        <f t="shared" si="17"/>
        <v>92</v>
      </c>
      <c r="Z29" s="563">
        <f>IFERROR(INDEX('V1'!C$300:C$400,MATCH("*"&amp;L29&amp;"*",'V1'!B$300:B$400,0)),"  ")</f>
        <v>2</v>
      </c>
      <c r="AA29" s="563" t="str">
        <f>IFERROR(INDEX('V2'!C$300:C$400,MATCH("*"&amp;L29&amp;"*",'V2'!B$300:B$400,0)),"  ")</f>
        <v xml:space="preserve">  </v>
      </c>
      <c r="AB29" s="563">
        <f>IFERROR(INDEX('V3'!C$300:C$400,MATCH("*"&amp;L29&amp;"*",'V3'!B$300:B$400,0)),"  ")</f>
        <v>10</v>
      </c>
      <c r="AC29" s="563">
        <f>IFERROR(INDEX('V4'!C$300:C$400,MATCH("*"&amp;L29&amp;"*",'V4'!B$300:B$400,0)),"  ")</f>
        <v>18</v>
      </c>
      <c r="AD29" s="563">
        <f>IFERROR(INDEX('V5'!C$300:C$400,MATCH("*"&amp;L29&amp;"*",'V5'!B$300:B$400,0)),"  ")</f>
        <v>24</v>
      </c>
      <c r="AE29" s="563">
        <f>IFERROR(INDEX('V6'!C$300:C$400,MATCH("*"&amp;L29&amp;"*",'V6'!B$300:B$400,0)),"  ")</f>
        <v>10</v>
      </c>
      <c r="AF29" s="563">
        <f>IFERROR(INDEX('V7'!C$300:C$400,MATCH("*"&amp;L29&amp;"*",'V7'!B$300:B$400,0)),"  ")</f>
        <v>2</v>
      </c>
      <c r="AG29" s="563">
        <f>IFERROR(INDEX('V8'!C$300:C$400,MATCH("*"&amp;L29&amp;"*",'V8'!B$300:B$400,0)),"  ")</f>
        <v>4</v>
      </c>
      <c r="AH29" s="563">
        <f>IFERROR(INDEX('V9'!C$300:C$400,MATCH("*"&amp;L29&amp;"*",'V9'!B$300:B$400,0)),"  ")</f>
        <v>18</v>
      </c>
      <c r="AI29" s="563">
        <f>IFERROR(INDEX('V10'!C$300:C$400,MATCH("*"&amp;L29&amp;"*",'V10'!B$300:B$400,0)),"  ")</f>
        <v>6</v>
      </c>
      <c r="AJ29" s="564">
        <f t="shared" si="18"/>
        <v>23</v>
      </c>
      <c r="AK29" s="565">
        <f t="shared" si="19"/>
        <v>94</v>
      </c>
      <c r="AL29" s="566" t="str">
        <f t="shared" si="20"/>
        <v>edasi 23</v>
      </c>
      <c r="AM29" s="567" t="str">
        <f>IFERROR(INDEX(#REF!,MATCH("*"&amp;L29&amp;"*",#REF!,0)),"  ")</f>
        <v xml:space="preserve">  </v>
      </c>
      <c r="AN29" s="568">
        <f t="shared" si="21"/>
        <v>9</v>
      </c>
      <c r="AO29" s="469">
        <f t="shared" si="22"/>
        <v>0</v>
      </c>
      <c r="AP29" s="469">
        <f t="shared" si="23"/>
        <v>0</v>
      </c>
      <c r="AQ29" s="569"/>
      <c r="AR29" s="569"/>
      <c r="AS29" s="569"/>
      <c r="AT29" s="570">
        <f t="shared" si="24"/>
        <v>2.0000000000000001E-4</v>
      </c>
      <c r="AU29" s="571">
        <f t="shared" si="25"/>
        <v>2.0001000000000002</v>
      </c>
      <c r="AV29" s="571">
        <f t="shared" si="26"/>
        <v>2.0000000000000001E-4</v>
      </c>
      <c r="AW29" s="571">
        <f t="shared" si="27"/>
        <v>10.000299999999999</v>
      </c>
      <c r="AX29" s="571">
        <f t="shared" si="28"/>
        <v>18.000399999999999</v>
      </c>
      <c r="AY29" s="571">
        <f t="shared" si="29"/>
        <v>24.000499999999999</v>
      </c>
      <c r="AZ29" s="571">
        <f t="shared" si="30"/>
        <v>10.0006</v>
      </c>
      <c r="BA29" s="571">
        <f t="shared" si="31"/>
        <v>2.0007000000000001</v>
      </c>
      <c r="BB29" s="571">
        <f t="shared" si="32"/>
        <v>4.0007999999999999</v>
      </c>
      <c r="BC29" s="571">
        <f t="shared" si="33"/>
        <v>18.000900000000001</v>
      </c>
      <c r="BD29" s="571">
        <f t="shared" si="34"/>
        <v>6.0010000000000003</v>
      </c>
      <c r="BE29" s="569"/>
      <c r="BF29" s="569"/>
      <c r="BG29" s="569"/>
      <c r="BH29" s="569"/>
      <c r="BI29" s="377">
        <f t="shared" si="35"/>
        <v>13</v>
      </c>
      <c r="BJ29" s="377" t="e">
        <f t="shared" si="36"/>
        <v>#VALUE!</v>
      </c>
      <c r="BK29" s="377">
        <f t="shared" si="37"/>
        <v>11</v>
      </c>
      <c r="BL29" s="377">
        <f t="shared" si="38"/>
        <v>6</v>
      </c>
      <c r="BM29" s="377">
        <f t="shared" si="39"/>
        <v>7</v>
      </c>
      <c r="BN29" s="377">
        <f t="shared" si="40"/>
        <v>12</v>
      </c>
      <c r="BO29" s="377">
        <f t="shared" si="41"/>
        <v>10</v>
      </c>
      <c r="BP29" s="377">
        <f t="shared" si="42"/>
        <v>8</v>
      </c>
      <c r="BQ29" s="377">
        <f t="shared" si="43"/>
        <v>6</v>
      </c>
      <c r="BR29" s="377">
        <f t="shared" si="44"/>
        <v>10</v>
      </c>
    </row>
    <row r="30" spans="1:70" x14ac:dyDescent="0.2">
      <c r="A30" s="484">
        <f t="shared" si="1"/>
        <v>20</v>
      </c>
      <c r="B30" s="485">
        <f t="shared" si="2"/>
        <v>24</v>
      </c>
      <c r="C30" s="486" t="str">
        <f t="shared" si="3"/>
        <v/>
      </c>
      <c r="D30" s="487">
        <f t="shared" si="4"/>
        <v>-976</v>
      </c>
      <c r="E30" s="488" t="str">
        <f t="shared" si="5"/>
        <v/>
      </c>
      <c r="F30" s="489">
        <f t="shared" si="6"/>
        <v>-976</v>
      </c>
      <c r="G30" s="490">
        <f t="shared" si="7"/>
        <v>5</v>
      </c>
      <c r="H30" s="489">
        <f t="shared" si="8"/>
        <v>24</v>
      </c>
      <c r="I30" s="491" t="str">
        <f t="shared" si="9"/>
        <v/>
      </c>
      <c r="J30" s="554">
        <f t="shared" si="10"/>
        <v>-976</v>
      </c>
      <c r="K30" s="526">
        <f t="shared" si="11"/>
        <v>24</v>
      </c>
      <c r="L30" s="573" t="s">
        <v>233</v>
      </c>
      <c r="M30" s="556" t="s">
        <v>170</v>
      </c>
      <c r="N30" s="557"/>
      <c r="O30" s="558"/>
      <c r="P30" s="559"/>
      <c r="Q30" s="560" t="s">
        <v>148</v>
      </c>
      <c r="R30" s="539">
        <f>(IF(COUNT(Z30,AA30,AB30,AC30,AD30,AE30,AF30,AG30,AH30,AI30)&lt;10,SUM(Z30,AA30,AB30,AC30,AD30,AE30,AF30,AG30,AH30,AI30),SUM(LARGE((Z30,AA30,AB30,AC30,AD30,AE30,AF30,AG30,AH30,AI30),{1;2;3;4;5;6;7;8;9}))))</f>
        <v>92</v>
      </c>
      <c r="S30" s="561" t="str">
        <f>INDEX([1]ETAPP!B$1:B$32,MATCH(COUNTIF(BI30:BR30,1),[1]ETAPP!A$1:A$32,0))&amp;INDEX([1]ETAPP!B$1:B$32,MATCH(COUNTIF(BI30:BR30,2),[1]ETAPP!A$1:A$32,0))&amp;INDEX([1]ETAPP!B$1:B$32,MATCH(COUNTIF(BI30:BR30,3),[1]ETAPP!A$1:A$32,0))&amp;INDEX([1]ETAPP!B$1:B$32,MATCH(COUNTIF(BI30:BR30,4),[1]ETAPP!A$1:A$32,0))&amp;INDEX([1]ETAPP!B$1:B$32,MATCH(COUNTIF(BI30:BR30,5),[1]ETAPP!A$1:A$32,0))&amp;INDEX([1]ETAPP!B$1:B$32,MATCH(COUNTIF(BI30:BR30,6),[1]ETAPP!A$1:A$32,0))&amp;INDEX([1]ETAPP!B$1:B$32,MATCH(COUNTIF(BI30:BR30,7),[1]ETAPP!A$1:A$32,0))&amp;INDEX([1]ETAPP!B$1:B$32,MATCH(COUNTIF(BI30:BR30,8),[1]ETAPP!A$1:A$32,0))&amp;INDEX([1]ETAPP!B$1:B$32,MATCH(COUNTIF(BI30:BR30,9),[1]ETAPP!A$1:A$32,0))&amp;INDEX([1]ETAPP!B$1:B$32,MATCH(COUNTIF(BI30:BR30,10),[1]ETAPP!A$1:A$32,0))&amp;INDEX([1]ETAPP!B$1:B$32,MATCH(COUNTIF(BI30:BR30,11),[1]ETAPP!A$1:A$32,0))&amp;INDEX([1]ETAPP!B$1:B$32,MATCH(COUNTIF(BI30:BR30,12),[1]ETAPP!A$1:A$32,0))&amp;INDEX([1]ETAPP!B$1:B$32,MATCH(COUNTIF(BI30:BR30,13),[1]ETAPP!A$1:A$32,0))&amp;INDEX([1]ETAPP!B$1:B$32,MATCH(COUNTIF(BI30:BR30,14),[1]ETAPP!A$1:A$32,0))&amp;INDEX([1]ETAPP!B$1:B$32,MATCH(COUNTIF(BI30:BR30,15),[1]ETAPP!A$1:A$32,0))&amp;INDEX([1]ETAPP!B$1:B$32,MATCH(COUNTIF(BI30:BR30,16),[1]ETAPP!A$1:A$32,0))&amp;INDEX([1]ETAPP!B$1:B$32,MATCH(COUNTIF(BI30:BR30,17),[1]ETAPP!A$1:A$32,0))&amp;INDEX([1]ETAPP!B$1:B$32,MATCH(COUNTIF(BI30:BR30,18),[1]ETAPP!A$1:A$32,0))&amp;INDEX([1]ETAPP!B$1:B$32,MATCH(COUNTIF(BI30:BR30,19),[1]ETAPP!A$1:A$32,0))&amp;INDEX([1]ETAPP!B$1:B$32,MATCH(COUNTIF(BI30:BR30,20),[1]ETAPP!A$1:A$32,0))&amp;INDEX([1]ETAPP!B$1:B$32,MATCH(COUNTIF(BI30:BR30,21),[1]ETAPP!A$1:A$32,0))</f>
        <v>00000AAAAB0B000000000</v>
      </c>
      <c r="T30" s="561" t="str">
        <f t="shared" si="12"/>
        <v>092,0-00000AAAAB0B000000000</v>
      </c>
      <c r="U30" s="561">
        <f t="shared" si="13"/>
        <v>24</v>
      </c>
      <c r="V30" s="561">
        <f t="shared" si="14"/>
        <v>57</v>
      </c>
      <c r="W30" s="561" t="str">
        <f t="shared" si="15"/>
        <v>092,0-00000AAAAB0B000000000-057</v>
      </c>
      <c r="X30" s="561">
        <f t="shared" si="16"/>
        <v>24</v>
      </c>
      <c r="Y30" s="562">
        <f t="shared" si="17"/>
        <v>91</v>
      </c>
      <c r="Z30" s="563">
        <f>IFERROR(INDEX('V1'!C$300:C$400,MATCH("*"&amp;L30&amp;"*",'V1'!B$300:B$400,0)),"  ")</f>
        <v>4</v>
      </c>
      <c r="AA30" s="563">
        <f>IFERROR(INDEX('V2'!C$300:C$400,MATCH("*"&amp;L30&amp;"*",'V2'!B$300:B$400,0)),"  ")</f>
        <v>20</v>
      </c>
      <c r="AB30" s="563" t="str">
        <f>IFERROR(INDEX('V3'!C$300:C$400,MATCH("*"&amp;L30&amp;"*",'V3'!B$300:B$400,0)),"  ")</f>
        <v xml:space="preserve">  </v>
      </c>
      <c r="AC30" s="563">
        <f>IFERROR(INDEX('V4'!C$300:C$400,MATCH("*"&amp;L30&amp;"*",'V4'!B$300:B$400,0)),"  ")</f>
        <v>16</v>
      </c>
      <c r="AD30" s="563">
        <f>IFERROR(INDEX('V5'!C$300:C$400,MATCH("*"&amp;L30&amp;"*",'V5'!B$300:B$400,0)),"  ")</f>
        <v>14</v>
      </c>
      <c r="AE30" s="563">
        <f>IFERROR(INDEX('V6'!C$300:C$400,MATCH("*"&amp;L30&amp;"*",'V6'!B$300:B$400,0)),"  ")</f>
        <v>14</v>
      </c>
      <c r="AF30" s="563">
        <f>IFERROR(INDEX('V7'!C$300:C$400,MATCH("*"&amp;L30&amp;"*",'V7'!B$300:B$400,0)),"  ")</f>
        <v>6</v>
      </c>
      <c r="AG30" s="563" t="str">
        <f>IFERROR(INDEX('V8'!C$300:C$400,MATCH("*"&amp;L30&amp;"*",'V8'!B$300:B$400,0)),"  ")</f>
        <v xml:space="preserve">  </v>
      </c>
      <c r="AH30" s="563">
        <f>IFERROR(INDEX('V9'!C$300:C$400,MATCH("*"&amp;L30&amp;"*",'V9'!B$300:B$400,0)),"  ")</f>
        <v>10</v>
      </c>
      <c r="AI30" s="563">
        <f>IFERROR(INDEX('V10'!C$300:C$400,MATCH("*"&amp;L30&amp;"*",'V10'!B$300:B$400,0)),"  ")</f>
        <v>8</v>
      </c>
      <c r="AJ30" s="564">
        <f t="shared" si="18"/>
        <v>24</v>
      </c>
      <c r="AK30" s="565">
        <f t="shared" si="19"/>
        <v>92</v>
      </c>
      <c r="AL30" s="566" t="str">
        <f t="shared" si="20"/>
        <v>edasi 24</v>
      </c>
      <c r="AM30" s="567" t="str">
        <f>IFERROR(INDEX(#REF!,MATCH("*"&amp;L30&amp;"*",#REF!,0)),"  ")</f>
        <v xml:space="preserve">  </v>
      </c>
      <c r="AN30" s="568">
        <f t="shared" si="21"/>
        <v>8</v>
      </c>
      <c r="AO30" s="469">
        <f t="shared" si="22"/>
        <v>0</v>
      </c>
      <c r="AP30" s="469">
        <f t="shared" si="23"/>
        <v>0</v>
      </c>
      <c r="AQ30" s="569"/>
      <c r="AR30" s="569"/>
      <c r="AS30" s="569"/>
      <c r="AT30" s="570">
        <f t="shared" si="24"/>
        <v>2.9999999999999997E-4</v>
      </c>
      <c r="AU30" s="571">
        <f t="shared" si="25"/>
        <v>4.0000999999999998</v>
      </c>
      <c r="AV30" s="571">
        <f t="shared" si="26"/>
        <v>20.0002</v>
      </c>
      <c r="AW30" s="571">
        <f t="shared" si="27"/>
        <v>2.9999999999999997E-4</v>
      </c>
      <c r="AX30" s="571">
        <f t="shared" si="28"/>
        <v>16.000399999999999</v>
      </c>
      <c r="AY30" s="571">
        <f t="shared" si="29"/>
        <v>14.000500000000001</v>
      </c>
      <c r="AZ30" s="571">
        <f t="shared" si="30"/>
        <v>14.0006</v>
      </c>
      <c r="BA30" s="571">
        <f t="shared" si="31"/>
        <v>6.0007000000000001</v>
      </c>
      <c r="BB30" s="571">
        <f t="shared" si="32"/>
        <v>8.0000000000000004E-4</v>
      </c>
      <c r="BC30" s="571">
        <f t="shared" si="33"/>
        <v>10.0009</v>
      </c>
      <c r="BD30" s="571">
        <f t="shared" si="34"/>
        <v>8.0009999999999994</v>
      </c>
      <c r="BE30" s="569"/>
      <c r="BF30" s="569"/>
      <c r="BG30" s="569"/>
      <c r="BH30" s="569"/>
      <c r="BI30" s="377">
        <f t="shared" si="35"/>
        <v>12</v>
      </c>
      <c r="BJ30" s="377">
        <f t="shared" si="36"/>
        <v>6</v>
      </c>
      <c r="BK30" s="377" t="e">
        <f t="shared" si="37"/>
        <v>#VALUE!</v>
      </c>
      <c r="BL30" s="377">
        <f t="shared" si="38"/>
        <v>7</v>
      </c>
      <c r="BM30" s="377">
        <f t="shared" si="39"/>
        <v>12</v>
      </c>
      <c r="BN30" s="377">
        <f t="shared" si="40"/>
        <v>10</v>
      </c>
      <c r="BO30" s="377">
        <f t="shared" si="41"/>
        <v>8</v>
      </c>
      <c r="BP30" s="377" t="e">
        <f t="shared" si="42"/>
        <v>#VALUE!</v>
      </c>
      <c r="BQ30" s="377">
        <f t="shared" si="43"/>
        <v>10</v>
      </c>
      <c r="BR30" s="377">
        <f t="shared" si="44"/>
        <v>9</v>
      </c>
    </row>
    <row r="31" spans="1:70" x14ac:dyDescent="0.2">
      <c r="A31" s="484">
        <f t="shared" si="1"/>
        <v>21</v>
      </c>
      <c r="B31" s="485">
        <f t="shared" si="2"/>
        <v>25</v>
      </c>
      <c r="C31" s="486" t="str">
        <f t="shared" si="3"/>
        <v/>
      </c>
      <c r="D31" s="487">
        <f t="shared" si="4"/>
        <v>-975</v>
      </c>
      <c r="E31" s="488">
        <f t="shared" si="5"/>
        <v>21</v>
      </c>
      <c r="F31" s="489">
        <f t="shared" si="6"/>
        <v>25</v>
      </c>
      <c r="G31" s="490" t="str">
        <f t="shared" si="7"/>
        <v/>
      </c>
      <c r="H31" s="489">
        <f t="shared" si="8"/>
        <v>-975</v>
      </c>
      <c r="I31" s="491" t="str">
        <f t="shared" si="9"/>
        <v/>
      </c>
      <c r="J31" s="554">
        <f t="shared" si="10"/>
        <v>-975</v>
      </c>
      <c r="K31" s="526">
        <f t="shared" si="11"/>
        <v>25</v>
      </c>
      <c r="L31" s="585" t="s">
        <v>235</v>
      </c>
      <c r="M31" s="556"/>
      <c r="N31" s="557" t="str">
        <f>IF(M31="","m","")</f>
        <v>m</v>
      </c>
      <c r="O31" s="558"/>
      <c r="P31" s="559"/>
      <c r="Q31" s="560" t="s">
        <v>148</v>
      </c>
      <c r="R31" s="539">
        <f>(IF(COUNT(Z31,AA31,AB31,AC31,AD31,AE31,AF31,AG31,AH31,AI31)&lt;10,SUM(Z31,AA31,AB31,AC31,AD31,AE31,AF31,AG31,AH31,AI31),SUM(LARGE((Z31,AA31,AB31,AC31,AD31,AE31,AF31,AG31,AH31,AI31),{1;2;3;4;5;6;7;8;9}))))</f>
        <v>82</v>
      </c>
      <c r="S31" s="561" t="str">
        <f>INDEX([1]ETAPP!B$1:B$32,MATCH(COUNTIF(BI31:BR31,1),[1]ETAPP!A$1:A$32,0))&amp;INDEX([1]ETAPP!B$1:B$32,MATCH(COUNTIF(BI31:BR31,2),[1]ETAPP!A$1:A$32,0))&amp;INDEX([1]ETAPP!B$1:B$32,MATCH(COUNTIF(BI31:BR31,3),[1]ETAPP!A$1:A$32,0))&amp;INDEX([1]ETAPP!B$1:B$32,MATCH(COUNTIF(BI31:BR31,4),[1]ETAPP!A$1:A$32,0))&amp;INDEX([1]ETAPP!B$1:B$32,MATCH(COUNTIF(BI31:BR31,5),[1]ETAPP!A$1:A$32,0))&amp;INDEX([1]ETAPP!B$1:B$32,MATCH(COUNTIF(BI31:BR31,6),[1]ETAPP!A$1:A$32,0))&amp;INDEX([1]ETAPP!B$1:B$32,MATCH(COUNTIF(BI31:BR31,7),[1]ETAPP!A$1:A$32,0))&amp;INDEX([1]ETAPP!B$1:B$32,MATCH(COUNTIF(BI31:BR31,8),[1]ETAPP!A$1:A$32,0))&amp;INDEX([1]ETAPP!B$1:B$32,MATCH(COUNTIF(BI31:BR31,9),[1]ETAPP!A$1:A$32,0))&amp;INDEX([1]ETAPP!B$1:B$32,MATCH(COUNTIF(BI31:BR31,10),[1]ETAPP!A$1:A$32,0))&amp;INDEX([1]ETAPP!B$1:B$32,MATCH(COUNTIF(BI31:BR31,11),[1]ETAPP!A$1:A$32,0))&amp;INDEX([1]ETAPP!B$1:B$32,MATCH(COUNTIF(BI31:BR31,12),[1]ETAPP!A$1:A$32,0))&amp;INDEX([1]ETAPP!B$1:B$32,MATCH(COUNTIF(BI31:BR31,13),[1]ETAPP!A$1:A$32,0))&amp;INDEX([1]ETAPP!B$1:B$32,MATCH(COUNTIF(BI31:BR31,14),[1]ETAPP!A$1:A$32,0))&amp;INDEX([1]ETAPP!B$1:B$32,MATCH(COUNTIF(BI31:BR31,15),[1]ETAPP!A$1:A$32,0))&amp;INDEX([1]ETAPP!B$1:B$32,MATCH(COUNTIF(BI31:BR31,16),[1]ETAPP!A$1:A$32,0))&amp;INDEX([1]ETAPP!B$1:B$32,MATCH(COUNTIF(BI31:BR31,17),[1]ETAPP!A$1:A$32,0))&amp;INDEX([1]ETAPP!B$1:B$32,MATCH(COUNTIF(BI31:BR31,18),[1]ETAPP!A$1:A$32,0))&amp;INDEX([1]ETAPP!B$1:B$32,MATCH(COUNTIF(BI31:BR31,19),[1]ETAPP!A$1:A$32,0))&amp;INDEX([1]ETAPP!B$1:B$32,MATCH(COUNTIF(BI31:BR31,20),[1]ETAPP!A$1:A$32,0))&amp;INDEX([1]ETAPP!B$1:B$32,MATCH(COUNTIF(BI31:BR31,21),[1]ETAPP!A$1:A$32,0))</f>
        <v>A00AA0000000000000000</v>
      </c>
      <c r="T31" s="561" t="str">
        <f t="shared" si="12"/>
        <v>082,0-A00AA0000000000000000</v>
      </c>
      <c r="U31" s="561">
        <f t="shared" si="13"/>
        <v>25</v>
      </c>
      <c r="V31" s="561">
        <f t="shared" si="14"/>
        <v>48</v>
      </c>
      <c r="W31" s="561" t="str">
        <f t="shared" si="15"/>
        <v>082,0-A00AA0000000000000000-048</v>
      </c>
      <c r="X31" s="561">
        <f t="shared" si="16"/>
        <v>25</v>
      </c>
      <c r="Y31" s="562">
        <f t="shared" si="17"/>
        <v>90</v>
      </c>
      <c r="Z31" s="563" t="str">
        <f>IFERROR(INDEX('V1'!C$300:C$400,MATCH("*"&amp;L31&amp;"*",'V1'!B$300:B$400,0)),"  ")</f>
        <v xml:space="preserve">  </v>
      </c>
      <c r="AA31" s="563">
        <f>IFERROR(INDEX('V2'!C$300:C$400,MATCH("*"&amp;L31&amp;"*",'V2'!B$300:B$400,0)),"  ")</f>
        <v>24</v>
      </c>
      <c r="AB31" s="563">
        <f>IFERROR(INDEX('V3'!C$300:C$400,MATCH("*"&amp;L31&amp;"*",'V3'!B$300:B$400,0)),"  ")</f>
        <v>22</v>
      </c>
      <c r="AC31" s="563" t="str">
        <f>IFERROR(INDEX('V4'!C$300:C$400,MATCH("*"&amp;L31&amp;"*",'V4'!B$300:B$400,0)),"  ")</f>
        <v xml:space="preserve">  </v>
      </c>
      <c r="AD31" s="563">
        <f>IFERROR(INDEX('V5'!C$300:C$400,MATCH("*"&amp;L31&amp;"*",'V5'!B$300:B$400,0)),"  ")</f>
        <v>36</v>
      </c>
      <c r="AE31" s="563" t="str">
        <f>IFERROR(INDEX('V6'!C$300:C$400,MATCH("*"&amp;L31&amp;"*",'V6'!B$300:B$400,0)),"  ")</f>
        <v xml:space="preserve">  </v>
      </c>
      <c r="AF31" s="563" t="str">
        <f>IFERROR(INDEX('V7'!C$300:C$400,MATCH("*"&amp;L31&amp;"*",'V7'!B$300:B$400,0)),"  ")</f>
        <v xml:space="preserve">  </v>
      </c>
      <c r="AG31" s="563" t="str">
        <f>IFERROR(INDEX('V8'!C$300:C$400,MATCH("*"&amp;L31&amp;"*",'V8'!B$300:B$400,0)),"  ")</f>
        <v xml:space="preserve">  </v>
      </c>
      <c r="AH31" s="563" t="str">
        <f>IFERROR(INDEX('V9'!C$300:C$400,MATCH("*"&amp;L31&amp;"*",'V9'!B$300:B$400,0)),"  ")</f>
        <v xml:space="preserve">  </v>
      </c>
      <c r="AI31" s="563" t="str">
        <f>IFERROR(INDEX('V10'!C$300:C$400,MATCH("*"&amp;L31&amp;"*",'V10'!B$300:B$400,0)),"  ")</f>
        <v xml:space="preserve">  </v>
      </c>
      <c r="AJ31" s="564">
        <f t="shared" si="18"/>
        <v>25</v>
      </c>
      <c r="AK31" s="565">
        <f t="shared" si="19"/>
        <v>82</v>
      </c>
      <c r="AL31" s="566" t="str">
        <f t="shared" si="20"/>
        <v>edasi 25</v>
      </c>
      <c r="AM31" s="567" t="str">
        <f>IFERROR(INDEX(#REF!,MATCH("*"&amp;L31&amp;"*",#REF!,0)),"  ")</f>
        <v xml:space="preserve">  </v>
      </c>
      <c r="AN31" s="568">
        <f t="shared" si="21"/>
        <v>3</v>
      </c>
      <c r="AO31" s="469">
        <f t="shared" si="22"/>
        <v>1</v>
      </c>
      <c r="AP31" s="469">
        <f t="shared" si="23"/>
        <v>1</v>
      </c>
      <c r="AQ31" s="569"/>
      <c r="AR31" s="569"/>
      <c r="AS31" s="569"/>
      <c r="AT31" s="570">
        <f t="shared" si="24"/>
        <v>1E-4</v>
      </c>
      <c r="AU31" s="571">
        <f t="shared" si="25"/>
        <v>1E-4</v>
      </c>
      <c r="AV31" s="571">
        <f t="shared" si="26"/>
        <v>24.0002</v>
      </c>
      <c r="AW31" s="571">
        <f t="shared" si="27"/>
        <v>22.000299999999999</v>
      </c>
      <c r="AX31" s="571">
        <f t="shared" si="28"/>
        <v>4.0000000000000002E-4</v>
      </c>
      <c r="AY31" s="571">
        <f t="shared" si="29"/>
        <v>36.000500000000002</v>
      </c>
      <c r="AZ31" s="571">
        <f t="shared" si="30"/>
        <v>5.9999999999999995E-4</v>
      </c>
      <c r="BA31" s="571">
        <f t="shared" si="31"/>
        <v>6.9999999999999999E-4</v>
      </c>
      <c r="BB31" s="571">
        <f t="shared" si="32"/>
        <v>8.0000000000000004E-4</v>
      </c>
      <c r="BC31" s="571">
        <f t="shared" si="33"/>
        <v>8.9999999999999998E-4</v>
      </c>
      <c r="BD31" s="571">
        <f t="shared" si="34"/>
        <v>1E-3</v>
      </c>
      <c r="BE31" s="569"/>
      <c r="BF31" s="569"/>
      <c r="BG31" s="569"/>
      <c r="BH31" s="569"/>
      <c r="BI31" s="377" t="e">
        <f t="shared" si="35"/>
        <v>#VALUE!</v>
      </c>
      <c r="BJ31" s="377">
        <f t="shared" si="36"/>
        <v>4</v>
      </c>
      <c r="BK31" s="377">
        <f t="shared" si="37"/>
        <v>5</v>
      </c>
      <c r="BL31" s="377" t="e">
        <f t="shared" si="38"/>
        <v>#VALUE!</v>
      </c>
      <c r="BM31" s="377">
        <f t="shared" si="39"/>
        <v>1</v>
      </c>
      <c r="BN31" s="377" t="e">
        <f t="shared" si="40"/>
        <v>#VALUE!</v>
      </c>
      <c r="BO31" s="377" t="e">
        <f t="shared" si="41"/>
        <v>#VALUE!</v>
      </c>
      <c r="BP31" s="377" t="e">
        <f t="shared" si="42"/>
        <v>#VALUE!</v>
      </c>
      <c r="BQ31" s="377" t="e">
        <f t="shared" si="43"/>
        <v>#VALUE!</v>
      </c>
      <c r="BR31" s="377" t="e">
        <f t="shared" si="44"/>
        <v>#VALUE!</v>
      </c>
    </row>
    <row r="32" spans="1:70" x14ac:dyDescent="0.2">
      <c r="A32" s="484" t="str">
        <f t="shared" si="1"/>
        <v/>
      </c>
      <c r="B32" s="485">
        <f t="shared" si="2"/>
        <v>-974</v>
      </c>
      <c r="C32" s="486">
        <f t="shared" si="3"/>
        <v>10</v>
      </c>
      <c r="D32" s="487">
        <f t="shared" si="4"/>
        <v>26</v>
      </c>
      <c r="E32" s="488">
        <f t="shared" si="5"/>
        <v>22</v>
      </c>
      <c r="F32" s="489">
        <f t="shared" si="6"/>
        <v>26</v>
      </c>
      <c r="G32" s="490" t="str">
        <f t="shared" si="7"/>
        <v/>
      </c>
      <c r="H32" s="489">
        <f t="shared" si="8"/>
        <v>-974</v>
      </c>
      <c r="I32" s="491" t="str">
        <f t="shared" si="9"/>
        <v/>
      </c>
      <c r="J32" s="554">
        <f t="shared" si="10"/>
        <v>-974</v>
      </c>
      <c r="K32" s="526">
        <f t="shared" si="11"/>
        <v>26</v>
      </c>
      <c r="L32" s="555" t="s">
        <v>416</v>
      </c>
      <c r="M32" s="556"/>
      <c r="N32" s="557" t="s">
        <v>168</v>
      </c>
      <c r="O32" s="579"/>
      <c r="P32" s="559" t="s">
        <v>269</v>
      </c>
      <c r="Q32" s="560" t="s">
        <v>417</v>
      </c>
      <c r="R32" s="539">
        <f>(IF(COUNT(Z32,AA32,AB32,AC32,AD32,AE32,AF32,AG32,AH32,AI32)&lt;10,SUM(Z32,AA32,AB32,AC32,AD32,AE32,AF32,AG32,AH32,AI32),SUM(LARGE((Z32,AA32,AB32,AC32,AD32,AE32,AF32,AG32,AH32,AI32),{1;2;3;4;5;6;7;8;9}))))</f>
        <v>82</v>
      </c>
      <c r="S32" s="561" t="str">
        <f>INDEX([1]ETAPP!B$1:B$32,MATCH(COUNTIF(BI32:BR32,1),[1]ETAPP!A$1:A$32,0))&amp;INDEX([1]ETAPP!B$1:B$32,MATCH(COUNTIF(BI32:BR32,2),[1]ETAPP!A$1:A$32,0))&amp;INDEX([1]ETAPP!B$1:B$32,MATCH(COUNTIF(BI32:BR32,3),[1]ETAPP!A$1:A$32,0))&amp;INDEX([1]ETAPP!B$1:B$32,MATCH(COUNTIF(BI32:BR32,4),[1]ETAPP!A$1:A$32,0))&amp;INDEX([1]ETAPP!B$1:B$32,MATCH(COUNTIF(BI32:BR32,5),[1]ETAPP!A$1:A$32,0))&amp;INDEX([1]ETAPP!B$1:B$32,MATCH(COUNTIF(BI32:BR32,6),[1]ETAPP!A$1:A$32,0))&amp;INDEX([1]ETAPP!B$1:B$32,MATCH(COUNTIF(BI32:BR32,7),[1]ETAPP!A$1:A$32,0))&amp;INDEX([1]ETAPP!B$1:B$32,MATCH(COUNTIF(BI32:BR32,8),[1]ETAPP!A$1:A$32,0))&amp;INDEX([1]ETAPP!B$1:B$32,MATCH(COUNTIF(BI32:BR32,9),[1]ETAPP!A$1:A$32,0))&amp;INDEX([1]ETAPP!B$1:B$32,MATCH(COUNTIF(BI32:BR32,10),[1]ETAPP!A$1:A$32,0))&amp;INDEX([1]ETAPP!B$1:B$32,MATCH(COUNTIF(BI32:BR32,11),[1]ETAPP!A$1:A$32,0))&amp;INDEX([1]ETAPP!B$1:B$32,MATCH(COUNTIF(BI32:BR32,12),[1]ETAPP!A$1:A$32,0))&amp;INDEX([1]ETAPP!B$1:B$32,MATCH(COUNTIF(BI32:BR32,13),[1]ETAPP!A$1:A$32,0))&amp;INDEX([1]ETAPP!B$1:B$32,MATCH(COUNTIF(BI32:BR32,14),[1]ETAPP!A$1:A$32,0))&amp;INDEX([1]ETAPP!B$1:B$32,MATCH(COUNTIF(BI32:BR32,15),[1]ETAPP!A$1:A$32,0))&amp;INDEX([1]ETAPP!B$1:B$32,MATCH(COUNTIF(BI32:BR32,16),[1]ETAPP!A$1:A$32,0))&amp;INDEX([1]ETAPP!B$1:B$32,MATCH(COUNTIF(BI32:BR32,17),[1]ETAPP!A$1:A$32,0))&amp;INDEX([1]ETAPP!B$1:B$32,MATCH(COUNTIF(BI32:BR32,18),[1]ETAPP!A$1:A$32,0))&amp;INDEX([1]ETAPP!B$1:B$32,MATCH(COUNTIF(BI32:BR32,19),[1]ETAPP!A$1:A$32,0))&amp;INDEX([1]ETAPP!B$1:B$32,MATCH(COUNTIF(BI32:BR32,20),[1]ETAPP!A$1:A$32,0))&amp;INDEX([1]ETAPP!B$1:B$32,MATCH(COUNTIF(BI32:BR32,21),[1]ETAPP!A$1:A$32,0))</f>
        <v>000BA00AA000000A00000</v>
      </c>
      <c r="T32" s="561" t="str">
        <f t="shared" si="12"/>
        <v>082,0-000BA00AA000000A00000</v>
      </c>
      <c r="U32" s="561">
        <f t="shared" si="13"/>
        <v>26</v>
      </c>
      <c r="V32" s="561">
        <f t="shared" si="14"/>
        <v>49</v>
      </c>
      <c r="W32" s="561" t="str">
        <f t="shared" si="15"/>
        <v>082,0-000BA00AA000000A00000-049</v>
      </c>
      <c r="X32" s="561">
        <f t="shared" si="16"/>
        <v>26</v>
      </c>
      <c r="Y32" s="562">
        <f t="shared" si="17"/>
        <v>89</v>
      </c>
      <c r="Z32" s="563" t="str">
        <f>IFERROR(INDEX('V1'!C$300:C$400,MATCH("*"&amp;L32&amp;"*",'V1'!B$300:B$400,0)),"  ")</f>
        <v xml:space="preserve">  </v>
      </c>
      <c r="AA32" s="563" t="str">
        <f>IFERROR(INDEX('V2'!C$300:C$400,MATCH("*"&amp;L32&amp;"*",'V2'!B$300:B$400,0)),"  ")</f>
        <v xml:space="preserve">  </v>
      </c>
      <c r="AB32" s="563" t="str">
        <f>IFERROR(INDEX('V3'!C$300:C$400,MATCH("*"&amp;L32&amp;"*",'V3'!B$300:B$400,0)),"  ")</f>
        <v xml:space="preserve">  </v>
      </c>
      <c r="AC32" s="563">
        <f>IFERROR(INDEX('V4'!C$300:C$400,MATCH("*"&amp;L32&amp;"*",'V4'!B$300:B$400,0)),"  ")</f>
        <v>20</v>
      </c>
      <c r="AD32" s="563">
        <f>IFERROR(INDEX('V5'!C$300:C$400,MATCH("*"&amp;L32&amp;"*",'V5'!B$300:B$400,0)),"  ")</f>
        <v>6</v>
      </c>
      <c r="AE32" s="563">
        <f>IFERROR(INDEX('V6'!C$300:C$400,MATCH("*"&amp;L32&amp;"*",'V6'!B$300:B$400,0)),"  ")</f>
        <v>26</v>
      </c>
      <c r="AF32" s="563">
        <f>IFERROR(INDEX('V7'!C$300:C$400,MATCH("*"&amp;L32&amp;"*",'V7'!B$300:B$400,0)),"  ")</f>
        <v>4</v>
      </c>
      <c r="AG32" s="563">
        <f>IFERROR(INDEX('V8'!C$300:C$400,MATCH("*"&amp;L32&amp;"*",'V8'!B$300:B$400,0)),"  ")</f>
        <v>12</v>
      </c>
      <c r="AH32" s="563">
        <f>IFERROR(INDEX('V9'!C$300:C$400,MATCH("*"&amp;L32&amp;"*",'V9'!B$300:B$400,0)),"  ")</f>
        <v>14</v>
      </c>
      <c r="AI32" s="563" t="str">
        <f>IFERROR(INDEX('V10'!C$300:C$400,MATCH("*"&amp;L32&amp;"*",'V10'!B$300:B$400,0)),"  ")</f>
        <v xml:space="preserve">  </v>
      </c>
      <c r="AJ32" s="564">
        <f t="shared" si="18"/>
        <v>26</v>
      </c>
      <c r="AK32" s="565">
        <f t="shared" si="19"/>
        <v>82</v>
      </c>
      <c r="AL32" s="566" t="str">
        <f t="shared" si="20"/>
        <v>edasi 26</v>
      </c>
      <c r="AM32" s="567" t="str">
        <f>IFERROR(INDEX(#REF!,MATCH("*"&amp;L32&amp;"*",#REF!,0)),"  ")</f>
        <v xml:space="preserve">  </v>
      </c>
      <c r="AN32" s="568">
        <f t="shared" si="21"/>
        <v>6</v>
      </c>
      <c r="AO32" s="469">
        <f t="shared" si="22"/>
        <v>0</v>
      </c>
      <c r="AP32" s="469">
        <f t="shared" si="23"/>
        <v>0</v>
      </c>
      <c r="AQ32" s="569"/>
      <c r="AR32" s="569"/>
      <c r="AS32" s="569"/>
      <c r="AT32" s="570">
        <f t="shared" si="24"/>
        <v>1E-4</v>
      </c>
      <c r="AU32" s="571">
        <f t="shared" si="25"/>
        <v>1E-4</v>
      </c>
      <c r="AV32" s="571">
        <f t="shared" si="26"/>
        <v>2.0000000000000001E-4</v>
      </c>
      <c r="AW32" s="571">
        <f t="shared" si="27"/>
        <v>2.9999999999999997E-4</v>
      </c>
      <c r="AX32" s="571">
        <f t="shared" si="28"/>
        <v>20.000399999999999</v>
      </c>
      <c r="AY32" s="571">
        <f t="shared" si="29"/>
        <v>6.0004999999999997</v>
      </c>
      <c r="AZ32" s="571">
        <f t="shared" si="30"/>
        <v>26.000599999999999</v>
      </c>
      <c r="BA32" s="571">
        <f t="shared" si="31"/>
        <v>4.0007000000000001</v>
      </c>
      <c r="BB32" s="571">
        <f t="shared" si="32"/>
        <v>12.0008</v>
      </c>
      <c r="BC32" s="571">
        <f t="shared" si="33"/>
        <v>14.0009</v>
      </c>
      <c r="BD32" s="571">
        <f t="shared" si="34"/>
        <v>1E-3</v>
      </c>
      <c r="BE32" s="569"/>
      <c r="BF32" s="569"/>
      <c r="BG32" s="569"/>
      <c r="BH32" s="569"/>
      <c r="BI32" s="377" t="e">
        <f t="shared" si="35"/>
        <v>#VALUE!</v>
      </c>
      <c r="BJ32" s="377" t="e">
        <f t="shared" si="36"/>
        <v>#VALUE!</v>
      </c>
      <c r="BK32" s="377" t="e">
        <f t="shared" si="37"/>
        <v>#VALUE!</v>
      </c>
      <c r="BL32" s="377">
        <f t="shared" si="38"/>
        <v>5</v>
      </c>
      <c r="BM32" s="377">
        <f t="shared" si="39"/>
        <v>16</v>
      </c>
      <c r="BN32" s="377">
        <f t="shared" si="40"/>
        <v>4</v>
      </c>
      <c r="BO32" s="377">
        <f t="shared" si="41"/>
        <v>9</v>
      </c>
      <c r="BP32" s="377">
        <f t="shared" si="42"/>
        <v>4</v>
      </c>
      <c r="BQ32" s="377">
        <f t="shared" si="43"/>
        <v>8</v>
      </c>
      <c r="BR32" s="377" t="e">
        <f t="shared" si="44"/>
        <v>#VALUE!</v>
      </c>
    </row>
    <row r="33" spans="1:70" x14ac:dyDescent="0.2">
      <c r="A33" s="484">
        <f t="shared" si="1"/>
        <v>22</v>
      </c>
      <c r="B33" s="485">
        <f t="shared" si="2"/>
        <v>27</v>
      </c>
      <c r="C33" s="486">
        <f t="shared" si="3"/>
        <v>11</v>
      </c>
      <c r="D33" s="487">
        <f t="shared" si="4"/>
        <v>27</v>
      </c>
      <c r="E33" s="488">
        <f t="shared" si="5"/>
        <v>23</v>
      </c>
      <c r="F33" s="489">
        <f t="shared" si="6"/>
        <v>27</v>
      </c>
      <c r="G33" s="490" t="str">
        <f t="shared" si="7"/>
        <v/>
      </c>
      <c r="H33" s="489">
        <f t="shared" si="8"/>
        <v>-973</v>
      </c>
      <c r="I33" s="491">
        <f t="shared" si="9"/>
        <v>1</v>
      </c>
      <c r="J33" s="554">
        <f t="shared" si="10"/>
        <v>27</v>
      </c>
      <c r="K33" s="526">
        <f t="shared" si="11"/>
        <v>27</v>
      </c>
      <c r="L33" s="555" t="s">
        <v>189</v>
      </c>
      <c r="M33" s="556"/>
      <c r="N33" s="557" t="s">
        <v>168</v>
      </c>
      <c r="O33" s="579" t="s">
        <v>190</v>
      </c>
      <c r="P33" s="559" t="s">
        <v>269</v>
      </c>
      <c r="Q33" s="560" t="s">
        <v>148</v>
      </c>
      <c r="R33" s="539">
        <f>(IF(COUNT(Z33,AA33,AB33,AC33,AD33,AE33,AF33,AG33,AH33,AI33)&lt;10,SUM(Z33,AA33,AB33,AC33,AD33,AE33,AF33,AG33,AH33,AI33),SUM(LARGE((Z33,AA33,AB33,AC33,AD33,AE33,AF33,AG33,AH33,AI33),{1;2;3;4;5;6;7;8;9}))))</f>
        <v>76</v>
      </c>
      <c r="S33" s="561" t="str">
        <f>INDEX([1]ETAPP!B$1:B$32,MATCH(COUNTIF(BI33:BR33,1),[1]ETAPP!A$1:A$32,0))&amp;INDEX([1]ETAPP!B$1:B$32,MATCH(COUNTIF(BI33:BR33,2),[1]ETAPP!A$1:A$32,0))&amp;INDEX([1]ETAPP!B$1:B$32,MATCH(COUNTIF(BI33:BR33,3),[1]ETAPP!A$1:A$32,0))&amp;INDEX([1]ETAPP!B$1:B$32,MATCH(COUNTIF(BI33:BR33,4),[1]ETAPP!A$1:A$32,0))&amp;INDEX([1]ETAPP!B$1:B$32,MATCH(COUNTIF(BI33:BR33,5),[1]ETAPP!A$1:A$32,0))&amp;INDEX([1]ETAPP!B$1:B$32,MATCH(COUNTIF(BI33:BR33,6),[1]ETAPP!A$1:A$32,0))&amp;INDEX([1]ETAPP!B$1:B$32,MATCH(COUNTIF(BI33:BR33,7),[1]ETAPP!A$1:A$32,0))&amp;INDEX([1]ETAPP!B$1:B$32,MATCH(COUNTIF(BI33:BR33,8),[1]ETAPP!A$1:A$32,0))&amp;INDEX([1]ETAPP!B$1:B$32,MATCH(COUNTIF(BI33:BR33,9),[1]ETAPP!A$1:A$32,0))&amp;INDEX([1]ETAPP!B$1:B$32,MATCH(COUNTIF(BI33:BR33,10),[1]ETAPP!A$1:A$32,0))&amp;INDEX([1]ETAPP!B$1:B$32,MATCH(COUNTIF(BI33:BR33,11),[1]ETAPP!A$1:A$32,0))&amp;INDEX([1]ETAPP!B$1:B$32,MATCH(COUNTIF(BI33:BR33,12),[1]ETAPP!A$1:A$32,0))&amp;INDEX([1]ETAPP!B$1:B$32,MATCH(COUNTIF(BI33:BR33,13),[1]ETAPP!A$1:A$32,0))&amp;INDEX([1]ETAPP!B$1:B$32,MATCH(COUNTIF(BI33:BR33,14),[1]ETAPP!A$1:A$32,0))&amp;INDEX([1]ETAPP!B$1:B$32,MATCH(COUNTIF(BI33:BR33,15),[1]ETAPP!A$1:A$32,0))&amp;INDEX([1]ETAPP!B$1:B$32,MATCH(COUNTIF(BI33:BR33,16),[1]ETAPP!A$1:A$32,0))&amp;INDEX([1]ETAPP!B$1:B$32,MATCH(COUNTIF(BI33:BR33,17),[1]ETAPP!A$1:A$32,0))&amp;INDEX([1]ETAPP!B$1:B$32,MATCH(COUNTIF(BI33:BR33,18),[1]ETAPP!A$1:A$32,0))&amp;INDEX([1]ETAPP!B$1:B$32,MATCH(COUNTIF(BI33:BR33,19),[1]ETAPP!A$1:A$32,0))&amp;INDEX([1]ETAPP!B$1:B$32,MATCH(COUNTIF(BI33:BR33,20),[1]ETAPP!A$1:A$32,0))&amp;INDEX([1]ETAPP!B$1:B$32,MATCH(COUNTIF(BI33:BR33,21),[1]ETAPP!A$1:A$32,0))</f>
        <v>A0A0A0000000000000000</v>
      </c>
      <c r="T33" s="561" t="str">
        <f t="shared" si="12"/>
        <v>076,0-A0A0A0000000000000000</v>
      </c>
      <c r="U33" s="561">
        <f t="shared" si="13"/>
        <v>27</v>
      </c>
      <c r="V33" s="561">
        <f t="shared" si="14"/>
        <v>39</v>
      </c>
      <c r="W33" s="561" t="str">
        <f t="shared" si="15"/>
        <v>076,0-A0A0A0000000000000000-039</v>
      </c>
      <c r="X33" s="561">
        <f t="shared" si="16"/>
        <v>27</v>
      </c>
      <c r="Y33" s="562">
        <f t="shared" si="17"/>
        <v>88</v>
      </c>
      <c r="Z33" s="563" t="str">
        <f>IFERROR(INDEX('V1'!C$300:C$400,MATCH("*"&amp;L33&amp;"*",'V1'!B$300:B$400,0)),"  ")</f>
        <v xml:space="preserve">  </v>
      </c>
      <c r="AA33" s="563" t="str">
        <f>IFERROR(INDEX('V2'!C$300:C$400,MATCH("*"&amp;L33&amp;"*",'V2'!B$300:B$400,0)),"  ")</f>
        <v xml:space="preserve">  </v>
      </c>
      <c r="AB33" s="563" t="str">
        <f>IFERROR(INDEX('V3'!C$300:C$400,MATCH("*"&amp;L33&amp;"*",'V3'!B$300:B$400,0)),"  ")</f>
        <v xml:space="preserve">  </v>
      </c>
      <c r="AC33" s="563" t="str">
        <f>IFERROR(INDEX('V4'!C$300:C$400,MATCH("*"&amp;L33&amp;"*",'V4'!B$300:B$400,0)),"  ")</f>
        <v xml:space="preserve">  </v>
      </c>
      <c r="AD33" s="563">
        <f>IFERROR(INDEX('V5'!C$300:C$400,MATCH("*"&amp;L33&amp;"*",'V5'!B$300:B$400,0)),"  ")</f>
        <v>28</v>
      </c>
      <c r="AE33" s="563">
        <f>IFERROR(INDEX('V6'!C$300:C$400,MATCH("*"&amp;L33&amp;"*",'V6'!B$300:B$400,0)),"  ")</f>
        <v>32</v>
      </c>
      <c r="AF33" s="563">
        <f>IFERROR(INDEX('V7'!C$300:C$400,MATCH("*"&amp;L33&amp;"*",'V7'!B$300:B$400,0)),"  ")</f>
        <v>16</v>
      </c>
      <c r="AG33" s="563" t="str">
        <f>IFERROR(INDEX('V8'!C$300:C$400,MATCH("*"&amp;L33&amp;"*",'V8'!B$300:B$400,0)),"  ")</f>
        <v xml:space="preserve">  </v>
      </c>
      <c r="AH33" s="563" t="str">
        <f>IFERROR(INDEX('V9'!C$300:C$400,MATCH("*"&amp;L33&amp;"*",'V9'!B$300:B$400,0)),"  ")</f>
        <v xml:space="preserve">  </v>
      </c>
      <c r="AI33" s="563" t="str">
        <f>IFERROR(INDEX('V10'!C$300:C$400,MATCH("*"&amp;L33&amp;"*",'V10'!B$300:B$400,0)),"  ")</f>
        <v xml:space="preserve">  </v>
      </c>
      <c r="AJ33" s="564">
        <f t="shared" si="18"/>
        <v>27</v>
      </c>
      <c r="AK33" s="565">
        <f t="shared" si="19"/>
        <v>76</v>
      </c>
      <c r="AL33" s="566" t="str">
        <f t="shared" si="20"/>
        <v>edasi 27</v>
      </c>
      <c r="AM33" s="567" t="str">
        <f>IFERROR(INDEX(#REF!,MATCH("*"&amp;L33&amp;"*",#REF!,0)),"  ")</f>
        <v xml:space="preserve">  </v>
      </c>
      <c r="AN33" s="568">
        <f t="shared" si="21"/>
        <v>3</v>
      </c>
      <c r="AO33" s="469">
        <f t="shared" si="22"/>
        <v>2</v>
      </c>
      <c r="AP33" s="469">
        <f t="shared" si="23"/>
        <v>1</v>
      </c>
      <c r="AQ33" s="569"/>
      <c r="AR33" s="569"/>
      <c r="AS33" s="569"/>
      <c r="AT33" s="570">
        <f t="shared" si="24"/>
        <v>1E-4</v>
      </c>
      <c r="AU33" s="571">
        <f t="shared" si="25"/>
        <v>1E-4</v>
      </c>
      <c r="AV33" s="571">
        <f t="shared" si="26"/>
        <v>2.0000000000000001E-4</v>
      </c>
      <c r="AW33" s="571">
        <f t="shared" si="27"/>
        <v>2.9999999999999997E-4</v>
      </c>
      <c r="AX33" s="571">
        <f t="shared" si="28"/>
        <v>4.0000000000000002E-4</v>
      </c>
      <c r="AY33" s="571">
        <f t="shared" si="29"/>
        <v>28.000499999999999</v>
      </c>
      <c r="AZ33" s="571">
        <f t="shared" si="30"/>
        <v>32.000599999999999</v>
      </c>
      <c r="BA33" s="571">
        <f t="shared" si="31"/>
        <v>16.000699999999998</v>
      </c>
      <c r="BB33" s="571">
        <f t="shared" si="32"/>
        <v>8.0000000000000004E-4</v>
      </c>
      <c r="BC33" s="571">
        <f t="shared" si="33"/>
        <v>8.9999999999999998E-4</v>
      </c>
      <c r="BD33" s="571">
        <f t="shared" si="34"/>
        <v>1E-3</v>
      </c>
      <c r="BE33" s="569"/>
      <c r="BF33" s="569"/>
      <c r="BG33" s="569"/>
      <c r="BH33" s="569"/>
      <c r="BI33" s="377" t="e">
        <f t="shared" si="35"/>
        <v>#VALUE!</v>
      </c>
      <c r="BJ33" s="377" t="e">
        <f t="shared" si="36"/>
        <v>#VALUE!</v>
      </c>
      <c r="BK33" s="377" t="e">
        <f t="shared" si="37"/>
        <v>#VALUE!</v>
      </c>
      <c r="BL33" s="377" t="e">
        <f t="shared" si="38"/>
        <v>#VALUE!</v>
      </c>
      <c r="BM33" s="377">
        <f t="shared" si="39"/>
        <v>5</v>
      </c>
      <c r="BN33" s="377">
        <f t="shared" si="40"/>
        <v>1</v>
      </c>
      <c r="BO33" s="377">
        <f t="shared" si="41"/>
        <v>3</v>
      </c>
      <c r="BP33" s="377" t="e">
        <f t="shared" si="42"/>
        <v>#VALUE!</v>
      </c>
      <c r="BQ33" s="377" t="e">
        <f t="shared" si="43"/>
        <v>#VALUE!</v>
      </c>
      <c r="BR33" s="377" t="e">
        <f t="shared" si="44"/>
        <v>#VALUE!</v>
      </c>
    </row>
    <row r="34" spans="1:70" x14ac:dyDescent="0.2">
      <c r="A34" s="484">
        <f t="shared" si="1"/>
        <v>23</v>
      </c>
      <c r="B34" s="485">
        <f t="shared" si="2"/>
        <v>28</v>
      </c>
      <c r="C34" s="486" t="str">
        <f t="shared" si="3"/>
        <v/>
      </c>
      <c r="D34" s="487">
        <f t="shared" si="4"/>
        <v>-972</v>
      </c>
      <c r="E34" s="488" t="str">
        <f t="shared" si="5"/>
        <v/>
      </c>
      <c r="F34" s="489">
        <f t="shared" si="6"/>
        <v>-972</v>
      </c>
      <c r="G34" s="490">
        <f t="shared" si="7"/>
        <v>6</v>
      </c>
      <c r="H34" s="489">
        <f t="shared" si="8"/>
        <v>28</v>
      </c>
      <c r="I34" s="491" t="str">
        <f t="shared" si="9"/>
        <v/>
      </c>
      <c r="J34" s="554">
        <f t="shared" si="10"/>
        <v>-972</v>
      </c>
      <c r="K34" s="526">
        <f t="shared" si="11"/>
        <v>28</v>
      </c>
      <c r="L34" s="555" t="s">
        <v>169</v>
      </c>
      <c r="M34" s="556" t="s">
        <v>170</v>
      </c>
      <c r="N34" s="557"/>
      <c r="O34" s="558"/>
      <c r="P34" s="559"/>
      <c r="Q34" s="560" t="s">
        <v>148</v>
      </c>
      <c r="R34" s="539">
        <f>(IF(COUNT(Z34,AA34,AB34,AC34,AD34,AE34,AF34,AG34,AH34,AI34)&lt;10,SUM(Z34,AA34,AB34,AC34,AD34,AE34,AF34,AG34,AH34,AI34),SUM(LARGE((Z34,AA34,AB34,AC34,AD34,AE34,AF34,AG34,AH34,AI34),{1;2;3;4;5;6;7;8;9}))))</f>
        <v>66</v>
      </c>
      <c r="S34" s="561" t="str">
        <f>INDEX([1]ETAPP!B$1:B$32,MATCH(COUNTIF(BI34:BR34,1),[1]ETAPP!A$1:A$32,0))&amp;INDEX([1]ETAPP!B$1:B$32,MATCH(COUNTIF(BI34:BR34,2),[1]ETAPP!A$1:A$32,0))&amp;INDEX([1]ETAPP!B$1:B$32,MATCH(COUNTIF(BI34:BR34,3),[1]ETAPP!A$1:A$32,0))&amp;INDEX([1]ETAPP!B$1:B$32,MATCH(COUNTIF(BI34:BR34,4),[1]ETAPP!A$1:A$32,0))&amp;INDEX([1]ETAPP!B$1:B$32,MATCH(COUNTIF(BI34:BR34,5),[1]ETAPP!A$1:A$32,0))&amp;INDEX([1]ETAPP!B$1:B$32,MATCH(COUNTIF(BI34:BR34,6),[1]ETAPP!A$1:A$32,0))&amp;INDEX([1]ETAPP!B$1:B$32,MATCH(COUNTIF(BI34:BR34,7),[1]ETAPP!A$1:A$32,0))&amp;INDEX([1]ETAPP!B$1:B$32,MATCH(COUNTIF(BI34:BR34,8),[1]ETAPP!A$1:A$32,0))&amp;INDEX([1]ETAPP!B$1:B$32,MATCH(COUNTIF(BI34:BR34,9),[1]ETAPP!A$1:A$32,0))&amp;INDEX([1]ETAPP!B$1:B$32,MATCH(COUNTIF(BI34:BR34,10),[1]ETAPP!A$1:A$32,0))&amp;INDEX([1]ETAPP!B$1:B$32,MATCH(COUNTIF(BI34:BR34,11),[1]ETAPP!A$1:A$32,0))&amp;INDEX([1]ETAPP!B$1:B$32,MATCH(COUNTIF(BI34:BR34,12),[1]ETAPP!A$1:A$32,0))&amp;INDEX([1]ETAPP!B$1:B$32,MATCH(COUNTIF(BI34:BR34,13),[1]ETAPP!A$1:A$32,0))&amp;INDEX([1]ETAPP!B$1:B$32,MATCH(COUNTIF(BI34:BR34,14),[1]ETAPP!A$1:A$32,0))&amp;INDEX([1]ETAPP!B$1:B$32,MATCH(COUNTIF(BI34:BR34,15),[1]ETAPP!A$1:A$32,0))&amp;INDEX([1]ETAPP!B$1:B$32,MATCH(COUNTIF(BI34:BR34,16),[1]ETAPP!A$1:A$32,0))&amp;INDEX([1]ETAPP!B$1:B$32,MATCH(COUNTIF(BI34:BR34,17),[1]ETAPP!A$1:A$32,0))&amp;INDEX([1]ETAPP!B$1:B$32,MATCH(COUNTIF(BI34:BR34,18),[1]ETAPP!A$1:A$32,0))&amp;INDEX([1]ETAPP!B$1:B$32,MATCH(COUNTIF(BI34:BR34,19),[1]ETAPP!A$1:A$32,0))&amp;INDEX([1]ETAPP!B$1:B$32,MATCH(COUNTIF(BI34:BR34,20),[1]ETAPP!A$1:A$32,0))&amp;INDEX([1]ETAPP!B$1:B$32,MATCH(COUNTIF(BI34:BR34,21),[1]ETAPP!A$1:A$32,0))</f>
        <v>000AA000AA00000000000</v>
      </c>
      <c r="T34" s="561" t="str">
        <f t="shared" si="12"/>
        <v>066,0-000AA000AA00000000000</v>
      </c>
      <c r="U34" s="561">
        <f t="shared" si="13"/>
        <v>28</v>
      </c>
      <c r="V34" s="561">
        <f t="shared" si="14"/>
        <v>42</v>
      </c>
      <c r="W34" s="561" t="str">
        <f t="shared" si="15"/>
        <v>066,0-000AA000AA00000000000-042</v>
      </c>
      <c r="X34" s="561">
        <f t="shared" si="16"/>
        <v>28</v>
      </c>
      <c r="Y34" s="562">
        <f t="shared" si="17"/>
        <v>87</v>
      </c>
      <c r="Z34" s="563">
        <f>IFERROR(INDEX('V1'!C$300:C$400,MATCH("*"&amp;L34&amp;"*",'V1'!B$300:B$400,0)),"  ")</f>
        <v>8</v>
      </c>
      <c r="AA34" s="563">
        <f>IFERROR(INDEX('V2'!C$300:C$400,MATCH("*"&amp;L34&amp;"*",'V2'!B$300:B$400,0)),"  ")</f>
        <v>22</v>
      </c>
      <c r="AB34" s="563">
        <f>IFERROR(INDEX('V3'!C$300:C$400,MATCH("*"&amp;L34&amp;"*",'V3'!B$300:B$400,0)),"  ")</f>
        <v>24</v>
      </c>
      <c r="AC34" s="563">
        <f>IFERROR(INDEX('V4'!C$300:C$400,MATCH("*"&amp;L34&amp;"*",'V4'!B$300:B$400,0)),"  ")</f>
        <v>12</v>
      </c>
      <c r="AD34" s="563" t="str">
        <f>IFERROR(INDEX('V5'!C$300:C$400,MATCH("*"&amp;L34&amp;"*",'V5'!B$300:B$400,0)),"  ")</f>
        <v xml:space="preserve">  </v>
      </c>
      <c r="AE34" s="563" t="str">
        <f>IFERROR(INDEX('V6'!C$300:C$400,MATCH("*"&amp;L34&amp;"*",'V6'!B$300:B$400,0)),"  ")</f>
        <v xml:space="preserve">  </v>
      </c>
      <c r="AF34" s="563" t="str">
        <f>IFERROR(INDEX('V7'!C$300:C$400,MATCH("*"&amp;L34&amp;"*",'V7'!B$300:B$400,0)),"  ")</f>
        <v xml:space="preserve">  </v>
      </c>
      <c r="AG34" s="563" t="str">
        <f>IFERROR(INDEX('V8'!C$300:C$400,MATCH("*"&amp;L34&amp;"*",'V8'!B$300:B$400,0)),"  ")</f>
        <v xml:space="preserve">  </v>
      </c>
      <c r="AH34" s="563" t="str">
        <f>IFERROR(INDEX('V9'!C$300:C$400,MATCH("*"&amp;L34&amp;"*",'V9'!B$300:B$400,0)),"  ")</f>
        <v xml:space="preserve">  </v>
      </c>
      <c r="AI34" s="563" t="str">
        <f>IFERROR(INDEX('V10'!C$300:C$400,MATCH("*"&amp;L34&amp;"*",'V10'!B$300:B$400,0)),"  ")</f>
        <v xml:space="preserve">  </v>
      </c>
      <c r="AJ34" s="564">
        <f t="shared" si="18"/>
        <v>28</v>
      </c>
      <c r="AK34" s="565">
        <f t="shared" si="19"/>
        <v>66</v>
      </c>
      <c r="AL34" s="566" t="str">
        <f t="shared" si="20"/>
        <v>edasi 28</v>
      </c>
      <c r="AM34" s="567" t="str">
        <f>IFERROR(INDEX(#REF!,MATCH("*"&amp;L34&amp;"*",#REF!,0)),"  ")</f>
        <v xml:space="preserve">  </v>
      </c>
      <c r="AN34" s="568">
        <f t="shared" si="21"/>
        <v>4</v>
      </c>
      <c r="AO34" s="469">
        <f t="shared" si="22"/>
        <v>0</v>
      </c>
      <c r="AP34" s="469">
        <f t="shared" si="23"/>
        <v>0</v>
      </c>
      <c r="AQ34" s="569"/>
      <c r="AR34" s="569"/>
      <c r="AS34" s="569"/>
      <c r="AT34" s="570">
        <f t="shared" si="24"/>
        <v>5.0000000000000001E-4</v>
      </c>
      <c r="AU34" s="571">
        <f t="shared" si="25"/>
        <v>8.0000999999999998</v>
      </c>
      <c r="AV34" s="571">
        <f t="shared" si="26"/>
        <v>22.0002</v>
      </c>
      <c r="AW34" s="571">
        <f t="shared" si="27"/>
        <v>24.000299999999999</v>
      </c>
      <c r="AX34" s="571">
        <f t="shared" si="28"/>
        <v>12.000400000000001</v>
      </c>
      <c r="AY34" s="571">
        <f t="shared" si="29"/>
        <v>5.0000000000000001E-4</v>
      </c>
      <c r="AZ34" s="571">
        <f t="shared" si="30"/>
        <v>5.9999999999999995E-4</v>
      </c>
      <c r="BA34" s="571">
        <f t="shared" si="31"/>
        <v>6.9999999999999999E-4</v>
      </c>
      <c r="BB34" s="571">
        <f t="shared" si="32"/>
        <v>8.0000000000000004E-4</v>
      </c>
      <c r="BC34" s="571">
        <f t="shared" si="33"/>
        <v>8.9999999999999998E-4</v>
      </c>
      <c r="BD34" s="571">
        <f t="shared" si="34"/>
        <v>1E-3</v>
      </c>
      <c r="BE34" s="569"/>
      <c r="BF34" s="569"/>
      <c r="BG34" s="569"/>
      <c r="BH34" s="569"/>
      <c r="BI34" s="377">
        <f t="shared" si="35"/>
        <v>10</v>
      </c>
      <c r="BJ34" s="377">
        <f t="shared" si="36"/>
        <v>5</v>
      </c>
      <c r="BK34" s="377">
        <f t="shared" si="37"/>
        <v>4</v>
      </c>
      <c r="BL34" s="377">
        <f t="shared" si="38"/>
        <v>9</v>
      </c>
      <c r="BM34" s="377" t="e">
        <f t="shared" si="39"/>
        <v>#VALUE!</v>
      </c>
      <c r="BN34" s="377" t="e">
        <f t="shared" si="40"/>
        <v>#VALUE!</v>
      </c>
      <c r="BO34" s="377" t="e">
        <f t="shared" si="41"/>
        <v>#VALUE!</v>
      </c>
      <c r="BP34" s="377" t="e">
        <f t="shared" si="42"/>
        <v>#VALUE!</v>
      </c>
      <c r="BQ34" s="377" t="e">
        <f t="shared" si="43"/>
        <v>#VALUE!</v>
      </c>
      <c r="BR34" s="377" t="e">
        <f t="shared" si="44"/>
        <v>#VALUE!</v>
      </c>
    </row>
    <row r="35" spans="1:70" x14ac:dyDescent="0.2">
      <c r="A35" s="484">
        <f t="shared" si="1"/>
        <v>24</v>
      </c>
      <c r="B35" s="485">
        <f t="shared" si="2"/>
        <v>29</v>
      </c>
      <c r="C35" s="486" t="str">
        <f t="shared" si="3"/>
        <v/>
      </c>
      <c r="D35" s="487">
        <f t="shared" si="4"/>
        <v>-971</v>
      </c>
      <c r="E35" s="488">
        <f t="shared" si="5"/>
        <v>24</v>
      </c>
      <c r="F35" s="489">
        <f t="shared" si="6"/>
        <v>29</v>
      </c>
      <c r="G35" s="490" t="str">
        <f t="shared" si="7"/>
        <v/>
      </c>
      <c r="H35" s="489">
        <f t="shared" si="8"/>
        <v>-971</v>
      </c>
      <c r="I35" s="491" t="str">
        <f t="shared" si="9"/>
        <v/>
      </c>
      <c r="J35" s="554">
        <f t="shared" si="10"/>
        <v>-971</v>
      </c>
      <c r="K35" s="526">
        <f t="shared" si="11"/>
        <v>29</v>
      </c>
      <c r="L35" s="585" t="s">
        <v>194</v>
      </c>
      <c r="M35" s="556"/>
      <c r="N35" s="557" t="str">
        <f>IF(M35="","m","")</f>
        <v>m</v>
      </c>
      <c r="O35" s="558"/>
      <c r="P35" s="559"/>
      <c r="Q35" s="560" t="s">
        <v>148</v>
      </c>
      <c r="R35" s="539">
        <f>(IF(COUNT(Z35,AA35,AB35,AC35,AD35,AE35,AF35,AG35,AH35,AI35)&lt;10,SUM(Z35,AA35,AB35,AC35,AD35,AE35,AF35,AG35,AH35,AI35),SUM(LARGE((Z35,AA35,AB35,AC35,AD35,AE35,AF35,AG35,AH35,AI35),{1;2;3;4;5;6;7;8;9}))))</f>
        <v>62</v>
      </c>
      <c r="S35" s="561" t="str">
        <f>INDEX([1]ETAPP!B$1:B$32,MATCH(COUNTIF(BI35:BR35,1),[1]ETAPP!A$1:A$32,0))&amp;INDEX([1]ETAPP!B$1:B$32,MATCH(COUNTIF(BI35:BR35,2),[1]ETAPP!A$1:A$32,0))&amp;INDEX([1]ETAPP!B$1:B$32,MATCH(COUNTIF(BI35:BR35,3),[1]ETAPP!A$1:A$32,0))&amp;INDEX([1]ETAPP!B$1:B$32,MATCH(COUNTIF(BI35:BR35,4),[1]ETAPP!A$1:A$32,0))&amp;INDEX([1]ETAPP!B$1:B$32,MATCH(COUNTIF(BI35:BR35,5),[1]ETAPP!A$1:A$32,0))&amp;INDEX([1]ETAPP!B$1:B$32,MATCH(COUNTIF(BI35:BR35,6),[1]ETAPP!A$1:A$32,0))&amp;INDEX([1]ETAPP!B$1:B$32,MATCH(COUNTIF(BI35:BR35,7),[1]ETAPP!A$1:A$32,0))&amp;INDEX([1]ETAPP!B$1:B$32,MATCH(COUNTIF(BI35:BR35,8),[1]ETAPP!A$1:A$32,0))&amp;INDEX([1]ETAPP!B$1:B$32,MATCH(COUNTIF(BI35:BR35,9),[1]ETAPP!A$1:A$32,0))&amp;INDEX([1]ETAPP!B$1:B$32,MATCH(COUNTIF(BI35:BR35,10),[1]ETAPP!A$1:A$32,0))&amp;INDEX([1]ETAPP!B$1:B$32,MATCH(COUNTIF(BI35:BR35,11),[1]ETAPP!A$1:A$32,0))&amp;INDEX([1]ETAPP!B$1:B$32,MATCH(COUNTIF(BI35:BR35,12),[1]ETAPP!A$1:A$32,0))&amp;INDEX([1]ETAPP!B$1:B$32,MATCH(COUNTIF(BI35:BR35,13),[1]ETAPP!A$1:A$32,0))&amp;INDEX([1]ETAPP!B$1:B$32,MATCH(COUNTIF(BI35:BR35,14),[1]ETAPP!A$1:A$32,0))&amp;INDEX([1]ETAPP!B$1:B$32,MATCH(COUNTIF(BI35:BR35,15),[1]ETAPP!A$1:A$32,0))&amp;INDEX([1]ETAPP!B$1:B$32,MATCH(COUNTIF(BI35:BR35,16),[1]ETAPP!A$1:A$32,0))&amp;INDEX([1]ETAPP!B$1:B$32,MATCH(COUNTIF(BI35:BR35,17),[1]ETAPP!A$1:A$32,0))&amp;INDEX([1]ETAPP!B$1:B$32,MATCH(COUNTIF(BI35:BR35,18),[1]ETAPP!A$1:A$32,0))&amp;INDEX([1]ETAPP!B$1:B$32,MATCH(COUNTIF(BI35:BR35,19),[1]ETAPP!A$1:A$32,0))&amp;INDEX([1]ETAPP!B$1:B$32,MATCH(COUNTIF(BI35:BR35,20),[1]ETAPP!A$1:A$32,0))&amp;INDEX([1]ETAPP!B$1:B$32,MATCH(COUNTIF(BI35:BR35,21),[1]ETAPP!A$1:A$32,0))</f>
        <v>00A0A0A000AAAA0000000</v>
      </c>
      <c r="T35" s="561" t="str">
        <f t="shared" si="12"/>
        <v>062,0-00A0A0A000AAAA0000000</v>
      </c>
      <c r="U35" s="561">
        <f t="shared" si="13"/>
        <v>29</v>
      </c>
      <c r="V35" s="561">
        <f t="shared" si="14"/>
        <v>98</v>
      </c>
      <c r="W35" s="561" t="str">
        <f t="shared" si="15"/>
        <v>062,0-00A0A0A000AAAA0000000-098</v>
      </c>
      <c r="X35" s="561">
        <f t="shared" si="16"/>
        <v>29</v>
      </c>
      <c r="Y35" s="562">
        <f t="shared" si="17"/>
        <v>86</v>
      </c>
      <c r="Z35" s="563" t="str">
        <f>IFERROR(INDEX('V1'!C$300:C$400,MATCH("*"&amp;L35&amp;"*",'V1'!B$300:B$400,0)),"  ")</f>
        <v xml:space="preserve">  </v>
      </c>
      <c r="AA35" s="563">
        <f>IFERROR(INDEX('V2'!C$300:C$400,MATCH("*"&amp;L35&amp;"*",'V2'!B$300:B$400,0)),"  ")</f>
        <v>4</v>
      </c>
      <c r="AB35" s="563">
        <f>IFERROR(INDEX('V3'!C$300:C$400,MATCH("*"&amp;L35&amp;"*",'V3'!B$300:B$400,0)),"  ")</f>
        <v>8</v>
      </c>
      <c r="AC35" s="563">
        <f>IFERROR(INDEX('V4'!C$300:C$400,MATCH("*"&amp;L35&amp;"*",'V4'!B$300:B$400,0)),"  ")</f>
        <v>4</v>
      </c>
      <c r="AD35" s="563" t="str">
        <f>IFERROR(INDEX('V5'!C$300:C$400,MATCH("*"&amp;L35&amp;"*",'V5'!B$300:B$400,0)),"  ")</f>
        <v xml:space="preserve">  </v>
      </c>
      <c r="AE35" s="563" t="str">
        <f>IFERROR(INDEX('V6'!C$300:C$400,MATCH("*"&amp;L35&amp;"*",'V6'!B$300:B$400,0)),"  ")</f>
        <v xml:space="preserve">  </v>
      </c>
      <c r="AF35" s="563">
        <f>IFERROR(INDEX('V7'!C$300:C$400,MATCH("*"&amp;L35&amp;"*",'V7'!B$300:B$400,0)),"  ")</f>
        <v>12</v>
      </c>
      <c r="AG35" s="563">
        <f>IFERROR(INDEX('V8'!C$300:C$400,MATCH("*"&amp;L35&amp;"*",'V8'!B$300:B$400,0)),"  ")</f>
        <v>14</v>
      </c>
      <c r="AH35" s="563">
        <f>IFERROR(INDEX('V9'!C$300:C$400,MATCH("*"&amp;L35&amp;"*",'V9'!B$300:B$400,0)),"  ")</f>
        <v>8</v>
      </c>
      <c r="AI35" s="563">
        <f>IFERROR(INDEX('V10'!C$300:C$400,MATCH("*"&amp;L35&amp;"*",'V10'!B$300:B$400,0)),"  ")</f>
        <v>12</v>
      </c>
      <c r="AJ35" s="564">
        <f t="shared" si="18"/>
        <v>29</v>
      </c>
      <c r="AK35" s="565">
        <f t="shared" si="19"/>
        <v>62</v>
      </c>
      <c r="AL35" s="566" t="str">
        <f t="shared" si="20"/>
        <v>edasi 29</v>
      </c>
      <c r="AM35" s="567" t="str">
        <f>IFERROR(INDEX(#REF!,MATCH("*"&amp;L35&amp;"*",#REF!,0)),"  ")</f>
        <v xml:space="preserve">  </v>
      </c>
      <c r="AN35" s="568">
        <f t="shared" si="21"/>
        <v>7</v>
      </c>
      <c r="AO35" s="469">
        <f t="shared" si="22"/>
        <v>1</v>
      </c>
      <c r="AP35" s="469">
        <f t="shared" si="23"/>
        <v>0</v>
      </c>
      <c r="AQ35" s="569"/>
      <c r="AR35" s="569"/>
      <c r="AS35" s="569"/>
      <c r="AT35" s="570">
        <f t="shared" si="24"/>
        <v>1E-4</v>
      </c>
      <c r="AU35" s="571">
        <f t="shared" si="25"/>
        <v>1E-4</v>
      </c>
      <c r="AV35" s="571">
        <f t="shared" si="26"/>
        <v>4.0002000000000004</v>
      </c>
      <c r="AW35" s="571">
        <f t="shared" si="27"/>
        <v>8.0002999999999993</v>
      </c>
      <c r="AX35" s="571">
        <f t="shared" si="28"/>
        <v>4.0004</v>
      </c>
      <c r="AY35" s="571">
        <f t="shared" si="29"/>
        <v>5.0000000000000001E-4</v>
      </c>
      <c r="AZ35" s="571">
        <f t="shared" si="30"/>
        <v>5.9999999999999995E-4</v>
      </c>
      <c r="BA35" s="571">
        <f t="shared" si="31"/>
        <v>12.0007</v>
      </c>
      <c r="BB35" s="571">
        <f t="shared" si="32"/>
        <v>14.0008</v>
      </c>
      <c r="BC35" s="571">
        <f t="shared" si="33"/>
        <v>8.0008999999999997</v>
      </c>
      <c r="BD35" s="571">
        <f t="shared" si="34"/>
        <v>12.000999999999999</v>
      </c>
      <c r="BE35" s="569"/>
      <c r="BF35" s="569"/>
      <c r="BG35" s="569"/>
      <c r="BH35" s="569"/>
      <c r="BI35" s="377" t="e">
        <f t="shared" si="35"/>
        <v>#VALUE!</v>
      </c>
      <c r="BJ35" s="377">
        <f t="shared" si="36"/>
        <v>14</v>
      </c>
      <c r="BK35" s="377">
        <f t="shared" si="37"/>
        <v>12</v>
      </c>
      <c r="BL35" s="377">
        <f t="shared" si="38"/>
        <v>13</v>
      </c>
      <c r="BM35" s="377" t="e">
        <f t="shared" si="39"/>
        <v>#VALUE!</v>
      </c>
      <c r="BN35" s="377" t="e">
        <f t="shared" si="40"/>
        <v>#VALUE!</v>
      </c>
      <c r="BO35" s="377">
        <f t="shared" si="41"/>
        <v>5</v>
      </c>
      <c r="BP35" s="377">
        <f t="shared" si="42"/>
        <v>3</v>
      </c>
      <c r="BQ35" s="377">
        <f t="shared" si="43"/>
        <v>11</v>
      </c>
      <c r="BR35" s="377">
        <f t="shared" si="44"/>
        <v>7</v>
      </c>
    </row>
    <row r="36" spans="1:70" x14ac:dyDescent="0.2">
      <c r="A36" s="484">
        <f t="shared" si="1"/>
        <v>25</v>
      </c>
      <c r="B36" s="485">
        <f t="shared" si="2"/>
        <v>30</v>
      </c>
      <c r="C36" s="486" t="str">
        <f t="shared" si="3"/>
        <v/>
      </c>
      <c r="D36" s="487">
        <f t="shared" si="4"/>
        <v>-970</v>
      </c>
      <c r="E36" s="488">
        <f t="shared" si="5"/>
        <v>25</v>
      </c>
      <c r="F36" s="489">
        <f t="shared" si="6"/>
        <v>30</v>
      </c>
      <c r="G36" s="490" t="str">
        <f t="shared" si="7"/>
        <v/>
      </c>
      <c r="H36" s="489">
        <f t="shared" si="8"/>
        <v>-970</v>
      </c>
      <c r="I36" s="491" t="str">
        <f t="shared" si="9"/>
        <v/>
      </c>
      <c r="J36" s="554">
        <f t="shared" si="10"/>
        <v>-970</v>
      </c>
      <c r="K36" s="526">
        <f t="shared" si="11"/>
        <v>30</v>
      </c>
      <c r="L36" s="573" t="s">
        <v>172</v>
      </c>
      <c r="M36" s="556"/>
      <c r="N36" s="557" t="s">
        <v>168</v>
      </c>
      <c r="O36" s="558"/>
      <c r="P36" s="559"/>
      <c r="Q36" s="560" t="s">
        <v>148</v>
      </c>
      <c r="R36" s="539">
        <f>(IF(COUNT(Z36,AA36,AB36,AC36,AD36,AE36,AF36,AG36,AH36,AI36)&lt;10,SUM(Z36,AA36,AB36,AC36,AD36,AE36,AF36,AG36,AH36,AI36),SUM(LARGE((Z36,AA36,AB36,AC36,AD36,AE36,AF36,AG36,AH36,AI36),{1;2;3;4;5;6;7;8;9}))))</f>
        <v>54</v>
      </c>
      <c r="S36" s="561" t="str">
        <f>INDEX([1]ETAPP!B$1:B$32,MATCH(COUNTIF(BI36:BR36,1),[1]ETAPP!A$1:A$32,0))&amp;INDEX([1]ETAPP!B$1:B$32,MATCH(COUNTIF(BI36:BR36,2),[1]ETAPP!A$1:A$32,0))&amp;INDEX([1]ETAPP!B$1:B$32,MATCH(COUNTIF(BI36:BR36,3),[1]ETAPP!A$1:A$32,0))&amp;INDEX([1]ETAPP!B$1:B$32,MATCH(COUNTIF(BI36:BR36,4),[1]ETAPP!A$1:A$32,0))&amp;INDEX([1]ETAPP!B$1:B$32,MATCH(COUNTIF(BI36:BR36,5),[1]ETAPP!A$1:A$32,0))&amp;INDEX([1]ETAPP!B$1:B$32,MATCH(COUNTIF(BI36:BR36,6),[1]ETAPP!A$1:A$32,0))&amp;INDEX([1]ETAPP!B$1:B$32,MATCH(COUNTIF(BI36:BR36,7),[1]ETAPP!A$1:A$32,0))&amp;INDEX([1]ETAPP!B$1:B$32,MATCH(COUNTIF(BI36:BR36,8),[1]ETAPP!A$1:A$32,0))&amp;INDEX([1]ETAPP!B$1:B$32,MATCH(COUNTIF(BI36:BR36,9),[1]ETAPP!A$1:A$32,0))&amp;INDEX([1]ETAPP!B$1:B$32,MATCH(COUNTIF(BI36:BR36,10),[1]ETAPP!A$1:A$32,0))&amp;INDEX([1]ETAPP!B$1:B$32,MATCH(COUNTIF(BI36:BR36,11),[1]ETAPP!A$1:A$32,0))&amp;INDEX([1]ETAPP!B$1:B$32,MATCH(COUNTIF(BI36:BR36,12),[1]ETAPP!A$1:A$32,0))&amp;INDEX([1]ETAPP!B$1:B$32,MATCH(COUNTIF(BI36:BR36,13),[1]ETAPP!A$1:A$32,0))&amp;INDEX([1]ETAPP!B$1:B$32,MATCH(COUNTIF(BI36:BR36,14),[1]ETAPP!A$1:A$32,0))&amp;INDEX([1]ETAPP!B$1:B$32,MATCH(COUNTIF(BI36:BR36,15),[1]ETAPP!A$1:A$32,0))&amp;INDEX([1]ETAPP!B$1:B$32,MATCH(COUNTIF(BI36:BR36,16),[1]ETAPP!A$1:A$32,0))&amp;INDEX([1]ETAPP!B$1:B$32,MATCH(COUNTIF(BI36:BR36,17),[1]ETAPP!A$1:A$32,0))&amp;INDEX([1]ETAPP!B$1:B$32,MATCH(COUNTIF(BI36:BR36,18),[1]ETAPP!A$1:A$32,0))&amp;INDEX([1]ETAPP!B$1:B$32,MATCH(COUNTIF(BI36:BR36,19),[1]ETAPP!A$1:A$32,0))&amp;INDEX([1]ETAPP!B$1:B$32,MATCH(COUNTIF(BI36:BR36,20),[1]ETAPP!A$1:A$32,0))&amp;INDEX([1]ETAPP!B$1:B$32,MATCH(COUNTIF(BI36:BR36,21),[1]ETAPP!A$1:A$32,0))</f>
        <v>00A00A000A00000000000</v>
      </c>
      <c r="T36" s="561" t="str">
        <f t="shared" si="12"/>
        <v>054,0-00A00A000A00000000000</v>
      </c>
      <c r="U36" s="561">
        <f t="shared" si="13"/>
        <v>30</v>
      </c>
      <c r="V36" s="561">
        <f t="shared" si="14"/>
        <v>83</v>
      </c>
      <c r="W36" s="561" t="str">
        <f t="shared" si="15"/>
        <v>054,0-00A00A000A00000000000-083</v>
      </c>
      <c r="X36" s="561">
        <f t="shared" si="16"/>
        <v>30</v>
      </c>
      <c r="Y36" s="562">
        <f t="shared" si="17"/>
        <v>85</v>
      </c>
      <c r="Z36" s="563" t="str">
        <f>IFERROR(INDEX('V1'!C$300:C$400,MATCH("*"&amp;L36&amp;"*",'V1'!B$300:B$400,0)),"  ")</f>
        <v xml:space="preserve">  </v>
      </c>
      <c r="AA36" s="563" t="str">
        <f>IFERROR(INDEX('V2'!C$300:C$400,MATCH("*"&amp;L36&amp;"*",'V2'!B$300:B$400,0)),"  ")</f>
        <v xml:space="preserve">  </v>
      </c>
      <c r="AB36" s="563">
        <f>IFERROR(INDEX('V3'!C$300:C$400,MATCH("*"&amp;L36&amp;"*",'V3'!B$300:B$400,0)),"  ")</f>
        <v>26</v>
      </c>
      <c r="AC36" s="563" t="str">
        <f>IFERROR(INDEX('V4'!C$300:C$400,MATCH("*"&amp;L36&amp;"*",'V4'!B$300:B$400,0)),"  ")</f>
        <v xml:space="preserve">  </v>
      </c>
      <c r="AD36" s="563">
        <f>IFERROR(INDEX('V5'!C$300:C$400,MATCH("*"&amp;L36&amp;"*",'V5'!B$300:B$400,0)),"  ")</f>
        <v>18</v>
      </c>
      <c r="AE36" s="563" t="str">
        <f>IFERROR(INDEX('V6'!C$300:C$400,MATCH("*"&amp;L36&amp;"*",'V6'!B$300:B$400,0)),"  ")</f>
        <v xml:space="preserve">  </v>
      </c>
      <c r="AF36" s="563">
        <f>IFERROR(INDEX('V7'!C$300:C$400,MATCH("*"&amp;L36&amp;"*",'V7'!B$300:B$400,0)),"  ")</f>
        <v>10</v>
      </c>
      <c r="AG36" s="563" t="str">
        <f>IFERROR(INDEX('V8'!C$300:C$400,MATCH("*"&amp;L36&amp;"*",'V8'!B$300:B$400,0)),"  ")</f>
        <v xml:space="preserve">  </v>
      </c>
      <c r="AH36" s="563" t="str">
        <f>IFERROR(INDEX('V9'!C$300:C$400,MATCH("*"&amp;L36&amp;"*",'V9'!B$300:B$400,0)),"  ")</f>
        <v xml:space="preserve">  </v>
      </c>
      <c r="AI36" s="563" t="str">
        <f>IFERROR(INDEX('V10'!C$300:C$400,MATCH("*"&amp;L36&amp;"*",'V10'!B$300:B$400,0)),"  ")</f>
        <v xml:space="preserve">  </v>
      </c>
      <c r="AJ36" s="564">
        <f t="shared" si="18"/>
        <v>30</v>
      </c>
      <c r="AK36" s="565">
        <f t="shared" si="19"/>
        <v>54</v>
      </c>
      <c r="AL36" s="566" t="str">
        <f t="shared" si="20"/>
        <v>edasi 30</v>
      </c>
      <c r="AM36" s="567" t="str">
        <f>IFERROR(INDEX(#REF!,MATCH("*"&amp;L36&amp;"*",#REF!,0)),"  ")</f>
        <v xml:space="preserve">  </v>
      </c>
      <c r="AN36" s="568">
        <f t="shared" si="21"/>
        <v>3</v>
      </c>
      <c r="AO36" s="469">
        <f t="shared" si="22"/>
        <v>1</v>
      </c>
      <c r="AP36" s="469">
        <f t="shared" si="23"/>
        <v>0</v>
      </c>
      <c r="AQ36" s="569"/>
      <c r="AR36" s="569"/>
      <c r="AS36" s="569"/>
      <c r="AT36" s="570">
        <f t="shared" si="24"/>
        <v>1E-4</v>
      </c>
      <c r="AU36" s="571">
        <f t="shared" si="25"/>
        <v>1E-4</v>
      </c>
      <c r="AV36" s="571">
        <f t="shared" si="26"/>
        <v>2.0000000000000001E-4</v>
      </c>
      <c r="AW36" s="571">
        <f t="shared" si="27"/>
        <v>26.000299999999999</v>
      </c>
      <c r="AX36" s="571">
        <f t="shared" si="28"/>
        <v>4.0000000000000002E-4</v>
      </c>
      <c r="AY36" s="571">
        <f t="shared" si="29"/>
        <v>18.000499999999999</v>
      </c>
      <c r="AZ36" s="571">
        <f t="shared" si="30"/>
        <v>5.9999999999999995E-4</v>
      </c>
      <c r="BA36" s="571">
        <f t="shared" si="31"/>
        <v>10.0007</v>
      </c>
      <c r="BB36" s="571">
        <f t="shared" si="32"/>
        <v>8.0000000000000004E-4</v>
      </c>
      <c r="BC36" s="571">
        <f t="shared" si="33"/>
        <v>8.9999999999999998E-4</v>
      </c>
      <c r="BD36" s="571">
        <f t="shared" si="34"/>
        <v>1E-3</v>
      </c>
      <c r="BE36" s="569"/>
      <c r="BF36" s="569"/>
      <c r="BG36" s="569"/>
      <c r="BH36" s="569"/>
      <c r="BI36" s="377" t="e">
        <f t="shared" si="35"/>
        <v>#VALUE!</v>
      </c>
      <c r="BJ36" s="377" t="e">
        <f t="shared" si="36"/>
        <v>#VALUE!</v>
      </c>
      <c r="BK36" s="377">
        <f t="shared" si="37"/>
        <v>3</v>
      </c>
      <c r="BL36" s="377" t="e">
        <f t="shared" si="38"/>
        <v>#VALUE!</v>
      </c>
      <c r="BM36" s="377">
        <f t="shared" si="39"/>
        <v>10</v>
      </c>
      <c r="BN36" s="377" t="e">
        <f t="shared" si="40"/>
        <v>#VALUE!</v>
      </c>
      <c r="BO36" s="377">
        <f t="shared" si="41"/>
        <v>6</v>
      </c>
      <c r="BP36" s="377" t="e">
        <f t="shared" si="42"/>
        <v>#VALUE!</v>
      </c>
      <c r="BQ36" s="377" t="e">
        <f t="shared" si="43"/>
        <v>#VALUE!</v>
      </c>
      <c r="BR36" s="377" t="e">
        <f t="shared" si="44"/>
        <v>#VALUE!</v>
      </c>
    </row>
    <row r="37" spans="1:70" x14ac:dyDescent="0.2">
      <c r="A37" s="484">
        <f t="shared" si="1"/>
        <v>26</v>
      </c>
      <c r="B37" s="485">
        <f t="shared" si="2"/>
        <v>31</v>
      </c>
      <c r="C37" s="486">
        <f t="shared" si="3"/>
        <v>12</v>
      </c>
      <c r="D37" s="487">
        <f t="shared" si="4"/>
        <v>31</v>
      </c>
      <c r="E37" s="488" t="str">
        <f t="shared" si="5"/>
        <v/>
      </c>
      <c r="F37" s="489">
        <f t="shared" si="6"/>
        <v>-969</v>
      </c>
      <c r="G37" s="490">
        <f t="shared" si="7"/>
        <v>7</v>
      </c>
      <c r="H37" s="489">
        <f t="shared" si="8"/>
        <v>31</v>
      </c>
      <c r="I37" s="491" t="str">
        <f t="shared" si="9"/>
        <v/>
      </c>
      <c r="J37" s="554">
        <f t="shared" si="10"/>
        <v>-969</v>
      </c>
      <c r="K37" s="526">
        <f t="shared" si="11"/>
        <v>31</v>
      </c>
      <c r="L37" s="555" t="s">
        <v>180</v>
      </c>
      <c r="M37" s="556" t="s">
        <v>170</v>
      </c>
      <c r="N37" s="557"/>
      <c r="O37" s="558"/>
      <c r="P37" s="559" t="s">
        <v>269</v>
      </c>
      <c r="Q37" s="560" t="s">
        <v>148</v>
      </c>
      <c r="R37" s="539">
        <f>(IF(COUNT(Z37,AA37,AB37,AC37,AD37,AE37,AF37,AG37,AH37,AI37)&lt;10,SUM(Z37,AA37,AB37,AC37,AD37,AE37,AF37,AG37,AH37,AI37),SUM(LARGE((Z37,AA37,AB37,AC37,AD37,AE37,AF37,AG37,AH37,AI37),{1;2;3;4;5;6;7;8;9}))))</f>
        <v>54</v>
      </c>
      <c r="S37" s="561" t="str">
        <f>INDEX([1]ETAPP!B$1:B$32,MATCH(COUNTIF(BI37:BR37,1),[1]ETAPP!A$1:A$32,0))&amp;INDEX([1]ETAPP!B$1:B$32,MATCH(COUNTIF(BI37:BR37,2),[1]ETAPP!A$1:A$32,0))&amp;INDEX([1]ETAPP!B$1:B$32,MATCH(COUNTIF(BI37:BR37,3),[1]ETAPP!A$1:A$32,0))&amp;INDEX([1]ETAPP!B$1:B$32,MATCH(COUNTIF(BI37:BR37,4),[1]ETAPP!A$1:A$32,0))&amp;INDEX([1]ETAPP!B$1:B$32,MATCH(COUNTIF(BI37:BR37,5),[1]ETAPP!A$1:A$32,0))&amp;INDEX([1]ETAPP!B$1:B$32,MATCH(COUNTIF(BI37:BR37,6),[1]ETAPP!A$1:A$32,0))&amp;INDEX([1]ETAPP!B$1:B$32,MATCH(COUNTIF(BI37:BR37,7),[1]ETAPP!A$1:A$32,0))&amp;INDEX([1]ETAPP!B$1:B$32,MATCH(COUNTIF(BI37:BR37,8),[1]ETAPP!A$1:A$32,0))&amp;INDEX([1]ETAPP!B$1:B$32,MATCH(COUNTIF(BI37:BR37,9),[1]ETAPP!A$1:A$32,0))&amp;INDEX([1]ETAPP!B$1:B$32,MATCH(COUNTIF(BI37:BR37,10),[1]ETAPP!A$1:A$32,0))&amp;INDEX([1]ETAPP!B$1:B$32,MATCH(COUNTIF(BI37:BR37,11),[1]ETAPP!A$1:A$32,0))&amp;INDEX([1]ETAPP!B$1:B$32,MATCH(COUNTIF(BI37:BR37,12),[1]ETAPP!A$1:A$32,0))&amp;INDEX([1]ETAPP!B$1:B$32,MATCH(COUNTIF(BI37:BR37,13),[1]ETAPP!A$1:A$32,0))&amp;INDEX([1]ETAPP!B$1:B$32,MATCH(COUNTIF(BI37:BR37,14),[1]ETAPP!A$1:A$32,0))&amp;INDEX([1]ETAPP!B$1:B$32,MATCH(COUNTIF(BI37:BR37,15),[1]ETAPP!A$1:A$32,0))&amp;INDEX([1]ETAPP!B$1:B$32,MATCH(COUNTIF(BI37:BR37,16),[1]ETAPP!A$1:A$32,0))&amp;INDEX([1]ETAPP!B$1:B$32,MATCH(COUNTIF(BI37:BR37,17),[1]ETAPP!A$1:A$32,0))&amp;INDEX([1]ETAPP!B$1:B$32,MATCH(COUNTIF(BI37:BR37,18),[1]ETAPP!A$1:A$32,0))&amp;INDEX([1]ETAPP!B$1:B$32,MATCH(COUNTIF(BI37:BR37,19),[1]ETAPP!A$1:A$32,0))&amp;INDEX([1]ETAPP!B$1:B$32,MATCH(COUNTIF(BI37:BR37,20),[1]ETAPP!A$1:A$32,0))&amp;INDEX([1]ETAPP!B$1:B$32,MATCH(COUNTIF(BI37:BR37,21),[1]ETAPP!A$1:A$32,0))</f>
        <v>00000A0A0A00AA0000000</v>
      </c>
      <c r="T37" s="561" t="str">
        <f t="shared" si="12"/>
        <v>054,0-00000A0A0A00AA0000000</v>
      </c>
      <c r="U37" s="561">
        <f t="shared" si="13"/>
        <v>31</v>
      </c>
      <c r="V37" s="561">
        <f t="shared" si="14"/>
        <v>23</v>
      </c>
      <c r="W37" s="561" t="str">
        <f t="shared" si="15"/>
        <v>054,0-00000A0A0A00AA0000000-023</v>
      </c>
      <c r="X37" s="561">
        <f t="shared" si="16"/>
        <v>31</v>
      </c>
      <c r="Y37" s="562">
        <f t="shared" si="17"/>
        <v>84</v>
      </c>
      <c r="Z37" s="563">
        <f>IFERROR(INDEX('V1'!C$300:C$400,MATCH("*"&amp;L37&amp;"*",'V1'!B$300:B$400,0)),"  ")</f>
        <v>16</v>
      </c>
      <c r="AA37" s="563">
        <f>IFERROR(INDEX('V2'!C$300:C$400,MATCH("*"&amp;L37&amp;"*",'V2'!B$300:B$400,0)),"  ")</f>
        <v>12</v>
      </c>
      <c r="AB37" s="563">
        <f>IFERROR(INDEX('V3'!C$300:C$400,MATCH("*"&amp;L37&amp;"*",'V3'!B$300:B$400,0)),"  ")</f>
        <v>16</v>
      </c>
      <c r="AC37" s="563" t="str">
        <f>IFERROR(INDEX('V4'!C$300:C$400,MATCH("*"&amp;L37&amp;"*",'V4'!B$300:B$400,0)),"  ")</f>
        <v xml:space="preserve">  </v>
      </c>
      <c r="AD37" s="563" t="str">
        <f>IFERROR(INDEX('V5'!C$300:C$400,MATCH("*"&amp;L37&amp;"*",'V5'!B$300:B$400,0)),"  ")</f>
        <v xml:space="preserve">  </v>
      </c>
      <c r="AE37" s="563">
        <f>IFERROR(INDEX('V6'!C$300:C$400,MATCH("*"&amp;L37&amp;"*",'V6'!B$300:B$400,0)),"  ")</f>
        <v>6</v>
      </c>
      <c r="AF37" s="563" t="str">
        <f>IFERROR(INDEX('V7'!C$300:C$400,MATCH("*"&amp;L37&amp;"*",'V7'!B$300:B$400,0)),"  ")</f>
        <v xml:space="preserve">  </v>
      </c>
      <c r="AG37" s="563" t="str">
        <f>IFERROR(INDEX('V8'!C$300:C$400,MATCH("*"&amp;L37&amp;"*",'V8'!B$300:B$400,0)),"  ")</f>
        <v xml:space="preserve">  </v>
      </c>
      <c r="AH37" s="563">
        <f>IFERROR(INDEX('V9'!C$300:C$400,MATCH("*"&amp;L37&amp;"*",'V9'!B$300:B$400,0)),"  ")</f>
        <v>4</v>
      </c>
      <c r="AI37" s="563" t="str">
        <f>IFERROR(INDEX('V10'!C$300:C$400,MATCH("*"&amp;L37&amp;"*",'V10'!B$300:B$400,0)),"  ")</f>
        <v xml:space="preserve">  </v>
      </c>
      <c r="AJ37" s="564">
        <f t="shared" si="18"/>
        <v>31</v>
      </c>
      <c r="AK37" s="565">
        <f t="shared" si="19"/>
        <v>54</v>
      </c>
      <c r="AL37" s="566" t="str">
        <f t="shared" si="20"/>
        <v>edasi 31</v>
      </c>
      <c r="AM37" s="567" t="str">
        <f>IFERROR(INDEX(#REF!,MATCH("*"&amp;L37&amp;"*",#REF!,0)),"  ")</f>
        <v xml:space="preserve">  </v>
      </c>
      <c r="AN37" s="568">
        <f t="shared" si="21"/>
        <v>5</v>
      </c>
      <c r="AO37" s="469">
        <f t="shared" si="22"/>
        <v>0</v>
      </c>
      <c r="AP37" s="469">
        <f t="shared" si="23"/>
        <v>0</v>
      </c>
      <c r="AQ37" s="569"/>
      <c r="AR37" s="569"/>
      <c r="AS37" s="569"/>
      <c r="AT37" s="570">
        <f t="shared" si="24"/>
        <v>4.0000000000000002E-4</v>
      </c>
      <c r="AU37" s="571">
        <f t="shared" si="25"/>
        <v>16.0001</v>
      </c>
      <c r="AV37" s="571">
        <f t="shared" si="26"/>
        <v>12.0002</v>
      </c>
      <c r="AW37" s="571">
        <f t="shared" si="27"/>
        <v>16.000299999999999</v>
      </c>
      <c r="AX37" s="571">
        <f t="shared" si="28"/>
        <v>4.0000000000000002E-4</v>
      </c>
      <c r="AY37" s="571">
        <f t="shared" si="29"/>
        <v>5.0000000000000001E-4</v>
      </c>
      <c r="AZ37" s="571">
        <f t="shared" si="30"/>
        <v>6.0006000000000004</v>
      </c>
      <c r="BA37" s="571">
        <f t="shared" si="31"/>
        <v>6.9999999999999999E-4</v>
      </c>
      <c r="BB37" s="571">
        <f t="shared" si="32"/>
        <v>8.0000000000000004E-4</v>
      </c>
      <c r="BC37" s="571">
        <f t="shared" si="33"/>
        <v>4.0008999999999997</v>
      </c>
      <c r="BD37" s="571">
        <f t="shared" si="34"/>
        <v>1E-3</v>
      </c>
      <c r="BE37" s="569"/>
      <c r="BF37" s="569"/>
      <c r="BG37" s="569"/>
      <c r="BH37" s="569"/>
      <c r="BI37" s="377">
        <f t="shared" si="35"/>
        <v>6</v>
      </c>
      <c r="BJ37" s="377">
        <f t="shared" si="36"/>
        <v>10</v>
      </c>
      <c r="BK37" s="377">
        <f t="shared" si="37"/>
        <v>8</v>
      </c>
      <c r="BL37" s="377" t="e">
        <f t="shared" si="38"/>
        <v>#VALUE!</v>
      </c>
      <c r="BM37" s="377" t="e">
        <f t="shared" si="39"/>
        <v>#VALUE!</v>
      </c>
      <c r="BN37" s="377">
        <f t="shared" si="40"/>
        <v>14</v>
      </c>
      <c r="BO37" s="377" t="e">
        <f t="shared" si="41"/>
        <v>#VALUE!</v>
      </c>
      <c r="BP37" s="377" t="e">
        <f t="shared" si="42"/>
        <v>#VALUE!</v>
      </c>
      <c r="BQ37" s="377">
        <f t="shared" si="43"/>
        <v>13</v>
      </c>
      <c r="BR37" s="377" t="e">
        <f t="shared" si="44"/>
        <v>#VALUE!</v>
      </c>
    </row>
    <row r="38" spans="1:70" ht="12.75" customHeight="1" x14ac:dyDescent="0.2">
      <c r="A38" s="484" t="str">
        <f t="shared" si="1"/>
        <v/>
      </c>
      <c r="B38" s="485">
        <f t="shared" si="2"/>
        <v>-968</v>
      </c>
      <c r="C38" s="486" t="str">
        <f t="shared" si="3"/>
        <v/>
      </c>
      <c r="D38" s="487">
        <f t="shared" si="4"/>
        <v>-968</v>
      </c>
      <c r="E38" s="488">
        <f t="shared" si="5"/>
        <v>26</v>
      </c>
      <c r="F38" s="489">
        <f t="shared" si="6"/>
        <v>32</v>
      </c>
      <c r="G38" s="490" t="str">
        <f t="shared" si="7"/>
        <v/>
      </c>
      <c r="H38" s="489">
        <f t="shared" si="8"/>
        <v>-968</v>
      </c>
      <c r="I38" s="491" t="str">
        <f t="shared" si="9"/>
        <v/>
      </c>
      <c r="J38" s="554">
        <f t="shared" si="10"/>
        <v>-968</v>
      </c>
      <c r="K38" s="526">
        <f t="shared" si="11"/>
        <v>32</v>
      </c>
      <c r="L38" s="555" t="s">
        <v>231</v>
      </c>
      <c r="M38" s="556"/>
      <c r="N38" s="557" t="s">
        <v>168</v>
      </c>
      <c r="O38" s="558"/>
      <c r="P38" s="559"/>
      <c r="Q38" s="560" t="s">
        <v>270</v>
      </c>
      <c r="R38" s="539">
        <f>(IF(COUNT(Z38,AA38,AB38,AC38,AD38,AE38,AF38,AG38,AH38,AI38)&lt;10,SUM(Z38,AA38,AB38,AC38,AD38,AE38,AF38,AG38,AH38,AI38),SUM(LARGE((Z38,AA38,AB38,AC38,AD38,AE38,AF38,AG38,AH38,AI38),{1;2;3;4;5;6;7;8;9}))))</f>
        <v>50</v>
      </c>
      <c r="S38" s="561" t="str">
        <f>INDEX([1]ETAPP!B$1:B$32,MATCH(COUNTIF(BI38:BR38,1),[1]ETAPP!A$1:A$32,0))&amp;INDEX([1]ETAPP!B$1:B$32,MATCH(COUNTIF(BI38:BR38,2),[1]ETAPP!A$1:A$32,0))&amp;INDEX([1]ETAPP!B$1:B$32,MATCH(COUNTIF(BI38:BR38,3),[1]ETAPP!A$1:A$32,0))&amp;INDEX([1]ETAPP!B$1:B$32,MATCH(COUNTIF(BI38:BR38,4),[1]ETAPP!A$1:A$32,0))&amp;INDEX([1]ETAPP!B$1:B$32,MATCH(COUNTIF(BI38:BR38,5),[1]ETAPP!A$1:A$32,0))&amp;INDEX([1]ETAPP!B$1:B$32,MATCH(COUNTIF(BI38:BR38,6),[1]ETAPP!A$1:A$32,0))&amp;INDEX([1]ETAPP!B$1:B$32,MATCH(COUNTIF(BI38:BR38,7),[1]ETAPP!A$1:A$32,0))&amp;INDEX([1]ETAPP!B$1:B$32,MATCH(COUNTIF(BI38:BR38,8),[1]ETAPP!A$1:A$32,0))&amp;INDEX([1]ETAPP!B$1:B$32,MATCH(COUNTIF(BI38:BR38,9),[1]ETAPP!A$1:A$32,0))&amp;INDEX([1]ETAPP!B$1:B$32,MATCH(COUNTIF(BI38:BR38,10),[1]ETAPP!A$1:A$32,0))&amp;INDEX([1]ETAPP!B$1:B$32,MATCH(COUNTIF(BI38:BR38,11),[1]ETAPP!A$1:A$32,0))&amp;INDEX([1]ETAPP!B$1:B$32,MATCH(COUNTIF(BI38:BR38,12),[1]ETAPP!A$1:A$32,0))&amp;INDEX([1]ETAPP!B$1:B$32,MATCH(COUNTIF(BI38:BR38,13),[1]ETAPP!A$1:A$32,0))&amp;INDEX([1]ETAPP!B$1:B$32,MATCH(COUNTIF(BI38:BR38,14),[1]ETAPP!A$1:A$32,0))&amp;INDEX([1]ETAPP!B$1:B$32,MATCH(COUNTIF(BI38:BR38,15),[1]ETAPP!A$1:A$32,0))&amp;INDEX([1]ETAPP!B$1:B$32,MATCH(COUNTIF(BI38:BR38,16),[1]ETAPP!A$1:A$32,0))&amp;INDEX([1]ETAPP!B$1:B$32,MATCH(COUNTIF(BI38:BR38,17),[1]ETAPP!A$1:A$32,0))&amp;INDEX([1]ETAPP!B$1:B$32,MATCH(COUNTIF(BI38:BR38,18),[1]ETAPP!A$1:A$32,0))&amp;INDEX([1]ETAPP!B$1:B$32,MATCH(COUNTIF(BI38:BR38,19),[1]ETAPP!A$1:A$32,0))&amp;INDEX([1]ETAPP!B$1:B$32,MATCH(COUNTIF(BI38:BR38,20),[1]ETAPP!A$1:A$32,0))&amp;INDEX([1]ETAPP!B$1:B$32,MATCH(COUNTIF(BI38:BR38,21),[1]ETAPP!A$1:A$32,0))</f>
        <v>0A000A000000000000000</v>
      </c>
      <c r="T38" s="561" t="str">
        <f t="shared" si="12"/>
        <v>050,0-0A000A000000000000000</v>
      </c>
      <c r="U38" s="561">
        <f t="shared" si="13"/>
        <v>32</v>
      </c>
      <c r="V38" s="561">
        <f t="shared" si="14"/>
        <v>60</v>
      </c>
      <c r="W38" s="561" t="str">
        <f t="shared" si="15"/>
        <v>050,0-0A000A000000000000000-060</v>
      </c>
      <c r="X38" s="561">
        <f t="shared" si="16"/>
        <v>32</v>
      </c>
      <c r="Y38" s="562">
        <f t="shared" si="17"/>
        <v>83</v>
      </c>
      <c r="Z38" s="563">
        <f>IFERROR(INDEX('V1'!C$300:C$400,MATCH("*"&amp;L38&amp;"*",'V1'!B$300:B$400,0)),"  ")</f>
        <v>24</v>
      </c>
      <c r="AA38" s="563" t="str">
        <f>IFERROR(INDEX('V2'!C$300:C$400,MATCH("*"&amp;L38&amp;"*",'V2'!B$300:B$400,0)),"  ")</f>
        <v xml:space="preserve">  </v>
      </c>
      <c r="AB38" s="563" t="str">
        <f>IFERROR(INDEX('V3'!C$300:C$400,MATCH("*"&amp;L38&amp;"*",'V3'!B$300:B$400,0)),"  ")</f>
        <v xml:space="preserve">  </v>
      </c>
      <c r="AC38" s="563" t="str">
        <f>IFERROR(INDEX('V4'!C$300:C$400,MATCH("*"&amp;L38&amp;"*",'V4'!B$300:B$400,0)),"  ")</f>
        <v xml:space="preserve">  </v>
      </c>
      <c r="AD38" s="563">
        <f>IFERROR(INDEX('V5'!C$300:C$400,MATCH("*"&amp;L38&amp;"*",'V5'!B$300:B$400,0)),"  ")</f>
        <v>26</v>
      </c>
      <c r="AE38" s="563" t="str">
        <f>IFERROR(INDEX('V6'!C$300:C$400,MATCH("*"&amp;L38&amp;"*",'V6'!B$300:B$400,0)),"  ")</f>
        <v xml:space="preserve">  </v>
      </c>
      <c r="AF38" s="563" t="str">
        <f>IFERROR(INDEX('V7'!C$300:C$400,MATCH("*"&amp;L38&amp;"*",'V7'!B$300:B$400,0)),"  ")</f>
        <v xml:space="preserve">  </v>
      </c>
      <c r="AG38" s="563" t="str">
        <f>IFERROR(INDEX('V8'!C$300:C$400,MATCH("*"&amp;L38&amp;"*",'V8'!B$300:B$400,0)),"  ")</f>
        <v xml:space="preserve">  </v>
      </c>
      <c r="AH38" s="563" t="str">
        <f>IFERROR(INDEX('V9'!C$300:C$400,MATCH("*"&amp;L38&amp;"*",'V9'!B$300:B$400,0)),"  ")</f>
        <v xml:space="preserve">  </v>
      </c>
      <c r="AI38" s="563" t="str">
        <f>IFERROR(INDEX('V10'!C$300:C$400,MATCH("*"&amp;L38&amp;"*",'V10'!B$300:B$400,0)),"  ")</f>
        <v xml:space="preserve">  </v>
      </c>
      <c r="AJ38" s="564" t="str">
        <f t="shared" si="18"/>
        <v/>
      </c>
      <c r="AK38" s="565">
        <f t="shared" si="19"/>
        <v>50</v>
      </c>
      <c r="AL38" s="566">
        <f t="shared" si="20"/>
        <v>32</v>
      </c>
      <c r="AM38" s="567" t="str">
        <f>IFERROR(INDEX(#REF!,MATCH("*"&amp;L38&amp;"*",#REF!,0)),"  ")</f>
        <v xml:space="preserve">  </v>
      </c>
      <c r="AN38" s="568">
        <f t="shared" si="21"/>
        <v>2</v>
      </c>
      <c r="AO38" s="469">
        <f t="shared" si="22"/>
        <v>1</v>
      </c>
      <c r="AP38" s="469">
        <f t="shared" si="23"/>
        <v>0</v>
      </c>
      <c r="AQ38" s="569"/>
      <c r="AR38" s="569"/>
      <c r="AS38" s="569"/>
      <c r="AT38" s="570">
        <f t="shared" si="24"/>
        <v>2.0000000000000001E-4</v>
      </c>
      <c r="AU38" s="571">
        <f t="shared" si="25"/>
        <v>24.0001</v>
      </c>
      <c r="AV38" s="571">
        <f t="shared" si="26"/>
        <v>2.0000000000000001E-4</v>
      </c>
      <c r="AW38" s="571">
        <f t="shared" si="27"/>
        <v>2.9999999999999997E-4</v>
      </c>
      <c r="AX38" s="571">
        <f t="shared" si="28"/>
        <v>4.0000000000000002E-4</v>
      </c>
      <c r="AY38" s="571">
        <f t="shared" si="29"/>
        <v>26.000499999999999</v>
      </c>
      <c r="AZ38" s="571">
        <f t="shared" si="30"/>
        <v>5.9999999999999995E-4</v>
      </c>
      <c r="BA38" s="571">
        <f t="shared" si="31"/>
        <v>6.9999999999999999E-4</v>
      </c>
      <c r="BB38" s="571">
        <f t="shared" si="32"/>
        <v>8.0000000000000004E-4</v>
      </c>
      <c r="BC38" s="571">
        <f t="shared" si="33"/>
        <v>8.9999999999999998E-4</v>
      </c>
      <c r="BD38" s="571">
        <f t="shared" si="34"/>
        <v>1E-3</v>
      </c>
      <c r="BE38" s="569"/>
      <c r="BF38" s="569"/>
      <c r="BG38" s="569"/>
      <c r="BH38" s="569"/>
      <c r="BI38" s="377">
        <f t="shared" si="35"/>
        <v>2</v>
      </c>
      <c r="BJ38" s="377" t="e">
        <f t="shared" si="36"/>
        <v>#VALUE!</v>
      </c>
      <c r="BK38" s="377" t="e">
        <f t="shared" si="37"/>
        <v>#VALUE!</v>
      </c>
      <c r="BL38" s="377" t="e">
        <f t="shared" si="38"/>
        <v>#VALUE!</v>
      </c>
      <c r="BM38" s="377">
        <f t="shared" si="39"/>
        <v>6</v>
      </c>
      <c r="BN38" s="377" t="e">
        <f t="shared" si="40"/>
        <v>#VALUE!</v>
      </c>
      <c r="BO38" s="377" t="e">
        <f t="shared" si="41"/>
        <v>#VALUE!</v>
      </c>
      <c r="BP38" s="377" t="e">
        <f t="shared" si="42"/>
        <v>#VALUE!</v>
      </c>
      <c r="BQ38" s="377" t="e">
        <f t="shared" si="43"/>
        <v>#VALUE!</v>
      </c>
      <c r="BR38" s="377" t="e">
        <f t="shared" si="44"/>
        <v>#VALUE!</v>
      </c>
    </row>
    <row r="39" spans="1:70" ht="12.75" customHeight="1" x14ac:dyDescent="0.2">
      <c r="A39" s="484" t="str">
        <f t="shared" ref="A39:A70" si="45">IF(R39&gt;0,IF(Q39="Viru SK",RANK(B39,B$7:B$120,1)-COUNTIF((Q$7:Q$120),"&lt;&gt;Viru SK"),""),"")</f>
        <v/>
      </c>
      <c r="B39" s="485">
        <f t="shared" ref="B39:B70" si="46">IF((Q39="Viru SK"),U39,U39-1000)</f>
        <v>-967</v>
      </c>
      <c r="C39" s="486">
        <f t="shared" ref="C39:C70" si="47">IF(R39&gt;0,IF(P39="t",RANK(D39,D$7:D$120,1)-COUNTBLANK(P$7:P$120),""),"")</f>
        <v>13</v>
      </c>
      <c r="D39" s="487">
        <f t="shared" ref="D39:D70" si="48">IF((P39="t"),U39,U39-1000)</f>
        <v>33</v>
      </c>
      <c r="E39" s="488">
        <f t="shared" ref="E39:E70" si="49">IF(R39&gt;0,IF(N39="m",RANK(F39,F$7:F$120,1)-COUNTBLANK(N$7:N$120),""),"")</f>
        <v>27</v>
      </c>
      <c r="F39" s="489">
        <f t="shared" ref="F39:F70" si="50">IF((N39="m"),U39,U39-1000)</f>
        <v>33</v>
      </c>
      <c r="G39" s="490" t="str">
        <f t="shared" ref="G39:G70" si="51">IF(R39&gt;0,IF(M39="n",RANK(H39,H$7:H$120,1)-COUNTBLANK(M$7:M$120),""),"")</f>
        <v/>
      </c>
      <c r="H39" s="489">
        <f t="shared" ref="H39:H70" si="52">IF((M39="n"),U39,U39-1000)</f>
        <v>-967</v>
      </c>
      <c r="I39" s="491" t="str">
        <f t="shared" ref="I39:I70" si="53">IF(R39&gt;0,IF(O39="j",RANK(J39,J$7:J$120,1)-COUNTBLANK(O$7:O$120),""),"")</f>
        <v/>
      </c>
      <c r="J39" s="554">
        <f t="shared" ref="J39:J70" si="54">IF((O39="j"),U39,U39-1000)</f>
        <v>-967</v>
      </c>
      <c r="K39" s="526">
        <f t="shared" ref="K39:K70" si="55">IF(R39&gt;0,RANK(U39,U$7:U$120,1),"")</f>
        <v>33</v>
      </c>
      <c r="L39" s="585" t="s">
        <v>179</v>
      </c>
      <c r="M39" s="556"/>
      <c r="N39" s="557" t="str">
        <f>IF(M39="","m","")</f>
        <v>m</v>
      </c>
      <c r="O39" s="558"/>
      <c r="P39" s="559" t="s">
        <v>269</v>
      </c>
      <c r="Q39" s="560" t="s">
        <v>270</v>
      </c>
      <c r="R39" s="539">
        <f>(IF(COUNT(Z39,AA39,AB39,AC39,AD39,AE39,AF39,AG39,AH39,AI39)&lt;10,SUM(Z39,AA39,AB39,AC39,AD39,AE39,AF39,AG39,AH39,AI39),SUM(LARGE((Z39,AA39,AB39,AC39,AD39,AE39,AF39,AG39,AH39,AI39),{1;2;3;4;5;6;7;8;9}))))</f>
        <v>46</v>
      </c>
      <c r="S39" s="561" t="str">
        <f>INDEX([1]ETAPP!B$1:B$32,MATCH(COUNTIF(BI39:BR39,1),[1]ETAPP!A$1:A$32,0))&amp;INDEX([1]ETAPP!B$1:B$32,MATCH(COUNTIF(BI39:BR39,2),[1]ETAPP!A$1:A$32,0))&amp;INDEX([1]ETAPP!B$1:B$32,MATCH(COUNTIF(BI39:BR39,3),[1]ETAPP!A$1:A$32,0))&amp;INDEX([1]ETAPP!B$1:B$32,MATCH(COUNTIF(BI39:BR39,4),[1]ETAPP!A$1:A$32,0))&amp;INDEX([1]ETAPP!B$1:B$32,MATCH(COUNTIF(BI39:BR39,5),[1]ETAPP!A$1:A$32,0))&amp;INDEX([1]ETAPP!B$1:B$32,MATCH(COUNTIF(BI39:BR39,6),[1]ETAPP!A$1:A$32,0))&amp;INDEX([1]ETAPP!B$1:B$32,MATCH(COUNTIF(BI39:BR39,7),[1]ETAPP!A$1:A$32,0))&amp;INDEX([1]ETAPP!B$1:B$32,MATCH(COUNTIF(BI39:BR39,8),[1]ETAPP!A$1:A$32,0))&amp;INDEX([1]ETAPP!B$1:B$32,MATCH(COUNTIF(BI39:BR39,9),[1]ETAPP!A$1:A$32,0))&amp;INDEX([1]ETAPP!B$1:B$32,MATCH(COUNTIF(BI39:BR39,10),[1]ETAPP!A$1:A$32,0))&amp;INDEX([1]ETAPP!B$1:B$32,MATCH(COUNTIF(BI39:BR39,11),[1]ETAPP!A$1:A$32,0))&amp;INDEX([1]ETAPP!B$1:B$32,MATCH(COUNTIF(BI39:BR39,12),[1]ETAPP!A$1:A$32,0))&amp;INDEX([1]ETAPP!B$1:B$32,MATCH(COUNTIF(BI39:BR39,13),[1]ETAPP!A$1:A$32,0))&amp;INDEX([1]ETAPP!B$1:B$32,MATCH(COUNTIF(BI39:BR39,14),[1]ETAPP!A$1:A$32,0))&amp;INDEX([1]ETAPP!B$1:B$32,MATCH(COUNTIF(BI39:BR39,15),[1]ETAPP!A$1:A$32,0))&amp;INDEX([1]ETAPP!B$1:B$32,MATCH(COUNTIF(BI39:BR39,16),[1]ETAPP!A$1:A$32,0))&amp;INDEX([1]ETAPP!B$1:B$32,MATCH(COUNTIF(BI39:BR39,17),[1]ETAPP!A$1:A$32,0))&amp;INDEX([1]ETAPP!B$1:B$32,MATCH(COUNTIF(BI39:BR39,18),[1]ETAPP!A$1:A$32,0))&amp;INDEX([1]ETAPP!B$1:B$32,MATCH(COUNTIF(BI39:BR39,19),[1]ETAPP!A$1:A$32,0))&amp;INDEX([1]ETAPP!B$1:B$32,MATCH(COUNTIF(BI39:BR39,20),[1]ETAPP!A$1:A$32,0))&amp;INDEX([1]ETAPP!B$1:B$32,MATCH(COUNTIF(BI39:BR39,21),[1]ETAPP!A$1:A$32,0))</f>
        <v>A00000A0000000A000000</v>
      </c>
      <c r="T39" s="561" t="str">
        <f t="shared" ref="T39:T70" si="56">TEXT(R39,"000,0")&amp;"-"&amp;S39</f>
        <v>046,0-A00000A0000000A000000</v>
      </c>
      <c r="U39" s="561">
        <f t="shared" ref="U39:U70" si="57">COUNTIF(T$7:T$120,"&gt;="&amp;T39)</f>
        <v>33</v>
      </c>
      <c r="V39" s="561">
        <f t="shared" ref="V39:V70" si="58">COUNTIF(L$7:L$120,"&gt;="&amp;L39)</f>
        <v>47</v>
      </c>
      <c r="W39" s="561" t="str">
        <f t="shared" ref="W39:W70" si="59">TEXT(R39,"000,0")&amp;"-"&amp;S39&amp;"-"&amp;TEXT(V39,"000")</f>
        <v>046,0-A00000A0000000A000000-047</v>
      </c>
      <c r="X39" s="561">
        <f t="shared" ref="X39:X70" si="60">COUNTIF(W$7:W$120,"&gt;="&amp;W39)</f>
        <v>33</v>
      </c>
      <c r="Y39" s="562">
        <f t="shared" ref="Y39:Y70" si="61">RANK(X39,X$7:X$120,0)</f>
        <v>82</v>
      </c>
      <c r="Z39" s="563">
        <f>IFERROR(INDEX('V1'!C$300:C$400,MATCH("*"&amp;L39&amp;"*",'V1'!B$300:B$400,0)),"  ")</f>
        <v>14</v>
      </c>
      <c r="AA39" s="563">
        <f>IFERROR(INDEX('V2'!C$300:C$400,MATCH("*"&amp;L39&amp;"*",'V2'!B$300:B$400,0)),"  ")</f>
        <v>30</v>
      </c>
      <c r="AB39" s="563">
        <f>IFERROR(INDEX('V3'!C$300:C$400,MATCH("*"&amp;L39&amp;"*",'V3'!B$300:B$400,0)),"  ")</f>
        <v>2</v>
      </c>
      <c r="AC39" s="563" t="str">
        <f>IFERROR(INDEX('V4'!C$300:C$400,MATCH("*"&amp;L39&amp;"*",'V4'!B$300:B$400,0)),"  ")</f>
        <v xml:space="preserve">  </v>
      </c>
      <c r="AD39" s="563" t="str">
        <f>IFERROR(INDEX('V5'!C$300:C$400,MATCH("*"&amp;L39&amp;"*",'V5'!B$300:B$400,0)),"  ")</f>
        <v xml:space="preserve">  </v>
      </c>
      <c r="AE39" s="563" t="str">
        <f>IFERROR(INDEX('V6'!C$300:C$400,MATCH("*"&amp;L39&amp;"*",'V6'!B$300:B$400,0)),"  ")</f>
        <v xml:space="preserve">  </v>
      </c>
      <c r="AF39" s="563" t="str">
        <f>IFERROR(INDEX('V7'!C$300:C$400,MATCH("*"&amp;L39&amp;"*",'V7'!B$300:B$400,0)),"  ")</f>
        <v xml:space="preserve">  </v>
      </c>
      <c r="AG39" s="563" t="str">
        <f>IFERROR(INDEX('V8'!C$300:C$400,MATCH("*"&amp;L39&amp;"*",'V8'!B$300:B$400,0)),"  ")</f>
        <v xml:space="preserve">  </v>
      </c>
      <c r="AH39" s="563" t="str">
        <f>IFERROR(INDEX('V9'!C$300:C$400,MATCH("*"&amp;L39&amp;"*",'V9'!B$300:B$400,0)),"  ")</f>
        <v xml:space="preserve">  </v>
      </c>
      <c r="AI39" s="563" t="str">
        <f>IFERROR(INDEX('V10'!C$300:C$400,MATCH("*"&amp;L39&amp;"*",'V10'!B$300:B$400,0)),"  ")</f>
        <v xml:space="preserve">  </v>
      </c>
      <c r="AJ39" s="564">
        <f t="shared" ref="AJ39:AJ70" si="62">IF(AN39&gt;(AT$2-1),K39,"")</f>
        <v>33</v>
      </c>
      <c r="AK39" s="565">
        <f t="shared" ref="AK39:AK70" si="63">SUM(Z39:AI39)</f>
        <v>46</v>
      </c>
      <c r="AL39" s="566" t="str">
        <f t="shared" ref="AL39:AL70" si="64">IFERROR("edasi "&amp;RANK(AJ39,AJ$7:AJ$120,1),K39)</f>
        <v>edasi 32</v>
      </c>
      <c r="AM39" s="567" t="str">
        <f>IFERROR(INDEX(#REF!,MATCH("*"&amp;L39&amp;"*",#REF!,0)),"  ")</f>
        <v xml:space="preserve">  </v>
      </c>
      <c r="AN39" s="568">
        <f t="shared" ref="AN39:AN70" si="65">COUNTIF(Z39:AI39,"&gt;=0")</f>
        <v>3</v>
      </c>
      <c r="AO39" s="469">
        <f t="shared" ref="AO39:AO70" si="66">IFERROR(IF(Z39+1&gt;LARGE(Z$7:Z$120,1)-2*LEN(Z$5),1),0)+IFERROR(IF(AA39+1&gt;LARGE(AA$7:AA$120,1)-2*LEN(AA$5),1),0)+IFERROR(IF(AB39+1&gt;LARGE(AB$7:AB$120,1)-2*LEN(AB$5),1),0)+IFERROR(IF(AC39+1&gt;LARGE(AC$7:AC$120,1)-2*LEN(AC$5),1),0)+IFERROR(IF(AD39+1&gt;LARGE(AD$7:AD$120,1)-2*LEN(AD$5),1),0)+IFERROR(IF(AE39+1&gt;LARGE(AE$7:AE$120,1)-2*LEN(AE$5),1),0)+IFERROR(IF(AF39+1&gt;LARGE(AF$7:AF$120,1)-2*LEN(AF$5),1),0)+IFERROR(IF(AG39+1&gt;LARGE(AG$7:AG$120,1)-2*LEN(AG$5),1),0)+IFERROR(IF(AH39+1&gt;LARGE(AH$7:AH$120,1)-2*LEN(AH$5),1),0)+IFERROR(IF(AI39+1&gt;LARGE(AI$7:AI$120,1)-2*LEN(AI$5),1),0)</f>
        <v>1</v>
      </c>
      <c r="AP39" s="469">
        <f t="shared" ref="AP39:AP70" si="67">IF(Z39=0,0,IF(Z39=IFERROR(LARGE(Z$7:Z$120,1),0),1,0))+IF(AA39=0,0,IF(AA39=IFERROR(LARGE(AA$7:AA$120,1),0),1,0))+IF(AB39=0,0,IF(AB39=IFERROR(LARGE(AB$7:AB$120,1),0),1,0))+IF(AC39=0,0,IF(AC39=IFERROR(LARGE(AC$7:AC$120,1),0),1,0))+IF(AD39=0,0,IF(AD39=IFERROR(LARGE(AD$7:AD$120,1),0),1,0))+IF(AE39=0,0,IF(AE39=IFERROR(LARGE(AE$7:AE$120,1),0),1,0))+IF(AF39=0,0,IF(AF39=IFERROR(LARGE(AF$7:AF$120,1),0),1,0))+IF(AG39=0,0,IF(AG39=IFERROR(LARGE(AG$7:AG$120,1),0),1,0))+IF(AH39=0,0,IF(AH39=IFERROR(LARGE(AH$7:AH$120,1),0),1,0))+IF(AI39=0,0,IF(AI39=IFERROR(LARGE(AI$7:AI$120,1),0),1,0))</f>
        <v>1</v>
      </c>
      <c r="AQ39" s="569"/>
      <c r="AR39" s="569"/>
      <c r="AS39" s="569"/>
      <c r="AT39" s="570">
        <f t="shared" ref="AT39:AT70" si="68">SMALL(AU39:BD39,AT$3)</f>
        <v>4.0000000000000002E-4</v>
      </c>
      <c r="AU39" s="571">
        <f t="shared" ref="AU39:AU70" si="69">IF(Z39="  ",0+MID(Z$6,FIND("V",Z$6)+1,256)/10000,Z39+MID(Z$6,FIND("V",Z$6)+1,256)/10000)</f>
        <v>14.0001</v>
      </c>
      <c r="AV39" s="571">
        <f t="shared" ref="AV39:AV70" si="70">IF(AA39="  ",0+MID(AA$6,FIND("V",AA$6)+1,256)/10000,AA39+MID(AA$6,FIND("V",AA$6)+1,256)/10000)</f>
        <v>30.0002</v>
      </c>
      <c r="AW39" s="571">
        <f t="shared" ref="AW39:AW70" si="71">IF(AB39="  ",0+MID(AB$6,FIND("V",AB$6)+1,256)/10000,AB39+MID(AB$6,FIND("V",AB$6)+1,256)/10000)</f>
        <v>2.0003000000000002</v>
      </c>
      <c r="AX39" s="571">
        <f t="shared" ref="AX39:AX70" si="72">IF(AC39="  ",0+MID(AC$6,FIND("V",AC$6)+1,256)/10000,AC39+MID(AC$6,FIND("V",AC$6)+1,256)/10000)</f>
        <v>4.0000000000000002E-4</v>
      </c>
      <c r="AY39" s="571">
        <f t="shared" ref="AY39:AY70" si="73">IF(AD39="  ",0+MID(AD$6,FIND("V",AD$6)+1,256)/10000,AD39+MID(AD$6,FIND("V",AD$6)+1,256)/10000)</f>
        <v>5.0000000000000001E-4</v>
      </c>
      <c r="AZ39" s="571">
        <f t="shared" ref="AZ39:AZ70" si="74">IF(AE39="  ",0+MID(AE$6,FIND("V",AE$6)+1,256)/10000,AE39+MID(AE$6,FIND("V",AE$6)+1,256)/10000)</f>
        <v>5.9999999999999995E-4</v>
      </c>
      <c r="BA39" s="571">
        <f t="shared" ref="BA39:BA70" si="75">IF(AF39="  ",0+MID(AF$6,FIND("V",AF$6)+1,256)/10000,AF39+MID(AF$6,FIND("V",AF$6)+1,256)/10000)</f>
        <v>6.9999999999999999E-4</v>
      </c>
      <c r="BB39" s="571">
        <f t="shared" ref="BB39:BB70" si="76">IF(AG39="  ",0+MID(AG$6,FIND("V",AG$6)+1,256)/10000,AG39+MID(AG$6,FIND("V",AG$6)+1,256)/10000)</f>
        <v>8.0000000000000004E-4</v>
      </c>
      <c r="BC39" s="571">
        <f t="shared" ref="BC39:BC70" si="77">IF(AH39="  ",0+MID(AH$6,FIND("V",AH$6)+1,256)/10000,AH39+MID(AH$6,FIND("V",AH$6)+1,256)/10000)</f>
        <v>8.9999999999999998E-4</v>
      </c>
      <c r="BD39" s="571">
        <f t="shared" ref="BD39:BD70" si="78">IF(AI39="  ",0+MID(AI$6,FIND("V",AI$6)+1,256)/10000,AI39+MID(AI$6,FIND("V",AI$6)+1,256)/10000)</f>
        <v>1E-3</v>
      </c>
      <c r="BE39" s="569"/>
      <c r="BF39" s="569"/>
      <c r="BG39" s="569"/>
      <c r="BH39" s="569"/>
      <c r="BI39" s="377">
        <f t="shared" ref="BI39:BI70" si="79">(LARGE(Z$7:Z$120,1)-Z39)/2+1</f>
        <v>7</v>
      </c>
      <c r="BJ39" s="377">
        <f t="shared" ref="BJ39:BJ70" si="80">(LARGE(AA$7:AA$120,1)-AA39)/2+1</f>
        <v>1</v>
      </c>
      <c r="BK39" s="377">
        <f t="shared" ref="BK39:BK70" si="81">(LARGE(AB$7:AB$120,1)-AB39)/2+1</f>
        <v>15</v>
      </c>
      <c r="BL39" s="377" t="e">
        <f t="shared" ref="BL39:BL70" si="82">(LARGE(AC$7:AC$120,1)-AC39)/2+1</f>
        <v>#VALUE!</v>
      </c>
      <c r="BM39" s="377" t="e">
        <f t="shared" ref="BM39:BM70" si="83">(LARGE(AD$7:AD$120,1)-AD39)/2+1</f>
        <v>#VALUE!</v>
      </c>
      <c r="BN39" s="377" t="e">
        <f t="shared" ref="BN39:BN70" si="84">(LARGE(AE$7:AE$120,1)-AE39)/2+1</f>
        <v>#VALUE!</v>
      </c>
      <c r="BO39" s="377" t="e">
        <f t="shared" ref="BO39:BO70" si="85">(LARGE(AF$7:AF$120,1)-AF39)/2+1</f>
        <v>#VALUE!</v>
      </c>
      <c r="BP39" s="377" t="e">
        <f t="shared" ref="BP39:BP70" si="86">(LARGE(AG$7:AG$120,1)-AG39)/2+1</f>
        <v>#VALUE!</v>
      </c>
      <c r="BQ39" s="377" t="e">
        <f t="shared" ref="BQ39:BQ70" si="87">(LARGE(AH$7:AH$120,1)-AH39)/2+1</f>
        <v>#VALUE!</v>
      </c>
      <c r="BR39" s="377" t="e">
        <f t="shared" ref="BR39:BR70" si="88">(LARGE(AI$7:AI$120,1)-AI39)/2+1</f>
        <v>#VALUE!</v>
      </c>
    </row>
    <row r="40" spans="1:70" ht="12.75" customHeight="1" x14ac:dyDescent="0.2">
      <c r="A40" s="484">
        <f t="shared" si="45"/>
        <v>27</v>
      </c>
      <c r="B40" s="485">
        <f t="shared" si="46"/>
        <v>34</v>
      </c>
      <c r="C40" s="486">
        <f t="shared" si="47"/>
        <v>14</v>
      </c>
      <c r="D40" s="487">
        <f t="shared" si="48"/>
        <v>34</v>
      </c>
      <c r="E40" s="488">
        <f t="shared" si="49"/>
        <v>28</v>
      </c>
      <c r="F40" s="489">
        <f t="shared" si="50"/>
        <v>34</v>
      </c>
      <c r="G40" s="490" t="str">
        <f t="shared" si="51"/>
        <v/>
      </c>
      <c r="H40" s="489">
        <f t="shared" si="52"/>
        <v>-966</v>
      </c>
      <c r="I40" s="491" t="str">
        <f t="shared" si="53"/>
        <v/>
      </c>
      <c r="J40" s="554">
        <f t="shared" si="54"/>
        <v>-966</v>
      </c>
      <c r="K40" s="526">
        <f t="shared" si="55"/>
        <v>34</v>
      </c>
      <c r="L40" s="573" t="s">
        <v>178</v>
      </c>
      <c r="M40" s="556"/>
      <c r="N40" s="557" t="str">
        <f>IF(M40="","m","")</f>
        <v>m</v>
      </c>
      <c r="O40" s="558"/>
      <c r="P40" s="559" t="s">
        <v>269</v>
      </c>
      <c r="Q40" s="560" t="s">
        <v>148</v>
      </c>
      <c r="R40" s="539">
        <f>(IF(COUNT(Z40,AA40,AB40,AC40,AD40,AE40,AF40,AG40,AH40,AI40)&lt;10,SUM(Z40,AA40,AB40,AC40,AD40,AE40,AF40,AG40,AH40,AI40),SUM(LARGE((Z40,AA40,AB40,AC40,AD40,AE40,AF40,AG40,AH40,AI40),{1;2;3;4;5;6;7;8;9}))))</f>
        <v>46</v>
      </c>
      <c r="S40" s="561" t="str">
        <f>INDEX([1]ETAPP!B$1:B$32,MATCH(COUNTIF(BI40:BR40,1),[1]ETAPP!A$1:A$32,0))&amp;INDEX([1]ETAPP!B$1:B$32,MATCH(COUNTIF(BI40:BR40,2),[1]ETAPP!A$1:A$32,0))&amp;INDEX([1]ETAPP!B$1:B$32,MATCH(COUNTIF(BI40:BR40,3),[1]ETAPP!A$1:A$32,0))&amp;INDEX([1]ETAPP!B$1:B$32,MATCH(COUNTIF(BI40:BR40,4),[1]ETAPP!A$1:A$32,0))&amp;INDEX([1]ETAPP!B$1:B$32,MATCH(COUNTIF(BI40:BR40,5),[1]ETAPP!A$1:A$32,0))&amp;INDEX([1]ETAPP!B$1:B$32,MATCH(COUNTIF(BI40:BR40,6),[1]ETAPP!A$1:A$32,0))&amp;INDEX([1]ETAPP!B$1:B$32,MATCH(COUNTIF(BI40:BR40,7),[1]ETAPP!A$1:A$32,0))&amp;INDEX([1]ETAPP!B$1:B$32,MATCH(COUNTIF(BI40:BR40,8),[1]ETAPP!A$1:A$32,0))&amp;INDEX([1]ETAPP!B$1:B$32,MATCH(COUNTIF(BI40:BR40,9),[1]ETAPP!A$1:A$32,0))&amp;INDEX([1]ETAPP!B$1:B$32,MATCH(COUNTIF(BI40:BR40,10),[1]ETAPP!A$1:A$32,0))&amp;INDEX([1]ETAPP!B$1:B$32,MATCH(COUNTIF(BI40:BR40,11),[1]ETAPP!A$1:A$32,0))&amp;INDEX([1]ETAPP!B$1:B$32,MATCH(COUNTIF(BI40:BR40,12),[1]ETAPP!A$1:A$32,0))&amp;INDEX([1]ETAPP!B$1:B$32,MATCH(COUNTIF(BI40:BR40,13),[1]ETAPP!A$1:A$32,0))&amp;INDEX([1]ETAPP!B$1:B$32,MATCH(COUNTIF(BI40:BR40,14),[1]ETAPP!A$1:A$32,0))&amp;INDEX([1]ETAPP!B$1:B$32,MATCH(COUNTIF(BI40:BR40,15),[1]ETAPP!A$1:A$32,0))&amp;INDEX([1]ETAPP!B$1:B$32,MATCH(COUNTIF(BI40:BR40,16),[1]ETAPP!A$1:A$32,0))&amp;INDEX([1]ETAPP!B$1:B$32,MATCH(COUNTIF(BI40:BR40,17),[1]ETAPP!A$1:A$32,0))&amp;INDEX([1]ETAPP!B$1:B$32,MATCH(COUNTIF(BI40:BR40,18),[1]ETAPP!A$1:A$32,0))&amp;INDEX([1]ETAPP!B$1:B$32,MATCH(COUNTIF(BI40:BR40,19),[1]ETAPP!A$1:A$32,0))&amp;INDEX([1]ETAPP!B$1:B$32,MATCH(COUNTIF(BI40:BR40,20),[1]ETAPP!A$1:A$32,0))&amp;INDEX([1]ETAPP!B$1:B$32,MATCH(COUNTIF(BI40:BR40,21),[1]ETAPP!A$1:A$32,0))</f>
        <v>0A00A0000000000000000</v>
      </c>
      <c r="T40" s="561" t="str">
        <f t="shared" si="56"/>
        <v>046,0-0A00A0000000000000000</v>
      </c>
      <c r="U40" s="561">
        <f t="shared" si="57"/>
        <v>34</v>
      </c>
      <c r="V40" s="561">
        <f t="shared" si="58"/>
        <v>85</v>
      </c>
      <c r="W40" s="561" t="str">
        <f t="shared" si="59"/>
        <v>046,0-0A00A0000000000000000-085</v>
      </c>
      <c r="X40" s="561">
        <f t="shared" si="60"/>
        <v>34</v>
      </c>
      <c r="Y40" s="562">
        <f t="shared" si="61"/>
        <v>81</v>
      </c>
      <c r="Z40" s="563">
        <f>IFERROR(INDEX('V1'!C$300:C$400,MATCH("*"&amp;L40&amp;"*",'V1'!B$300:B$400,0)),"  ")</f>
        <v>18</v>
      </c>
      <c r="AA40" s="563">
        <f>IFERROR(INDEX('V2'!C$300:C$400,MATCH("*"&amp;L40&amp;"*",'V2'!B$300:B$400,0)),"  ")</f>
        <v>28</v>
      </c>
      <c r="AB40" s="563" t="str">
        <f>IFERROR(INDEX('V3'!C$300:C$400,MATCH("*"&amp;L40&amp;"*",'V3'!B$300:B$400,0)),"  ")</f>
        <v xml:space="preserve">  </v>
      </c>
      <c r="AC40" s="563" t="str">
        <f>IFERROR(INDEX('V4'!C$300:C$400,MATCH("*"&amp;L40&amp;"*",'V4'!B$300:B$400,0)),"  ")</f>
        <v xml:space="preserve">  </v>
      </c>
      <c r="AD40" s="563" t="str">
        <f>IFERROR(INDEX('V5'!C$300:C$400,MATCH("*"&amp;L40&amp;"*",'V5'!B$300:B$400,0)),"  ")</f>
        <v xml:space="preserve">  </v>
      </c>
      <c r="AE40" s="563" t="str">
        <f>IFERROR(INDEX('V6'!C$300:C$400,MATCH("*"&amp;L40&amp;"*",'V6'!B$300:B$400,0)),"  ")</f>
        <v xml:space="preserve">  </v>
      </c>
      <c r="AF40" s="563" t="str">
        <f>IFERROR(INDEX('V7'!C$300:C$400,MATCH("*"&amp;L40&amp;"*",'V7'!B$300:B$400,0)),"  ")</f>
        <v xml:space="preserve">  </v>
      </c>
      <c r="AG40" s="563" t="str">
        <f>IFERROR(INDEX('V8'!C$300:C$400,MATCH("*"&amp;L40&amp;"*",'V8'!B$300:B$400,0)),"  ")</f>
        <v xml:space="preserve">  </v>
      </c>
      <c r="AH40" s="563" t="str">
        <f>IFERROR(INDEX('V9'!C$300:C$400,MATCH("*"&amp;L40&amp;"*",'V9'!B$300:B$400,0)),"  ")</f>
        <v xml:space="preserve">  </v>
      </c>
      <c r="AI40" s="563" t="str">
        <f>IFERROR(INDEX('V10'!C$300:C$400,MATCH("*"&amp;L40&amp;"*",'V10'!B$300:B$400,0)),"  ")</f>
        <v xml:space="preserve">  </v>
      </c>
      <c r="AJ40" s="564" t="str">
        <f t="shared" si="62"/>
        <v/>
      </c>
      <c r="AK40" s="565">
        <f t="shared" si="63"/>
        <v>46</v>
      </c>
      <c r="AL40" s="566">
        <f t="shared" si="64"/>
        <v>34</v>
      </c>
      <c r="AM40" s="567" t="str">
        <f>IFERROR(INDEX(#REF!,MATCH("*"&amp;L40&amp;"*",#REF!,0)),"  ")</f>
        <v xml:space="preserve">  </v>
      </c>
      <c r="AN40" s="568">
        <f t="shared" si="65"/>
        <v>2</v>
      </c>
      <c r="AO40" s="469">
        <f t="shared" si="66"/>
        <v>1</v>
      </c>
      <c r="AP40" s="469">
        <f t="shared" si="67"/>
        <v>0</v>
      </c>
      <c r="AQ40" s="569"/>
      <c r="AR40" s="569"/>
      <c r="AS40" s="569"/>
      <c r="AT40" s="570">
        <f t="shared" si="68"/>
        <v>2.9999999999999997E-4</v>
      </c>
      <c r="AU40" s="571">
        <f t="shared" si="69"/>
        <v>18.0001</v>
      </c>
      <c r="AV40" s="571">
        <f t="shared" si="70"/>
        <v>28.0002</v>
      </c>
      <c r="AW40" s="571">
        <f t="shared" si="71"/>
        <v>2.9999999999999997E-4</v>
      </c>
      <c r="AX40" s="571">
        <f t="shared" si="72"/>
        <v>4.0000000000000002E-4</v>
      </c>
      <c r="AY40" s="571">
        <f t="shared" si="73"/>
        <v>5.0000000000000001E-4</v>
      </c>
      <c r="AZ40" s="571">
        <f t="shared" si="74"/>
        <v>5.9999999999999995E-4</v>
      </c>
      <c r="BA40" s="571">
        <f t="shared" si="75"/>
        <v>6.9999999999999999E-4</v>
      </c>
      <c r="BB40" s="571">
        <f t="shared" si="76"/>
        <v>8.0000000000000004E-4</v>
      </c>
      <c r="BC40" s="571">
        <f t="shared" si="77"/>
        <v>8.9999999999999998E-4</v>
      </c>
      <c r="BD40" s="571">
        <f t="shared" si="78"/>
        <v>1E-3</v>
      </c>
      <c r="BE40" s="569"/>
      <c r="BF40" s="569"/>
      <c r="BG40" s="569"/>
      <c r="BH40" s="569"/>
      <c r="BI40" s="377">
        <f t="shared" si="79"/>
        <v>5</v>
      </c>
      <c r="BJ40" s="377">
        <f t="shared" si="80"/>
        <v>2</v>
      </c>
      <c r="BK40" s="377" t="e">
        <f t="shared" si="81"/>
        <v>#VALUE!</v>
      </c>
      <c r="BL40" s="377" t="e">
        <f t="shared" si="82"/>
        <v>#VALUE!</v>
      </c>
      <c r="BM40" s="377" t="e">
        <f t="shared" si="83"/>
        <v>#VALUE!</v>
      </c>
      <c r="BN40" s="377" t="e">
        <f t="shared" si="84"/>
        <v>#VALUE!</v>
      </c>
      <c r="BO40" s="377" t="e">
        <f t="shared" si="85"/>
        <v>#VALUE!</v>
      </c>
      <c r="BP40" s="377" t="e">
        <f t="shared" si="86"/>
        <v>#VALUE!</v>
      </c>
      <c r="BQ40" s="377" t="e">
        <f t="shared" si="87"/>
        <v>#VALUE!</v>
      </c>
      <c r="BR40" s="377" t="e">
        <f t="shared" si="88"/>
        <v>#VALUE!</v>
      </c>
    </row>
    <row r="41" spans="1:70" ht="12.75" customHeight="1" x14ac:dyDescent="0.2">
      <c r="A41" s="484">
        <f t="shared" si="45"/>
        <v>28</v>
      </c>
      <c r="B41" s="485">
        <f t="shared" si="46"/>
        <v>35</v>
      </c>
      <c r="C41" s="486">
        <f t="shared" si="47"/>
        <v>15</v>
      </c>
      <c r="D41" s="487">
        <f t="shared" si="48"/>
        <v>35</v>
      </c>
      <c r="E41" s="488" t="str">
        <f t="shared" si="49"/>
        <v/>
      </c>
      <c r="F41" s="489">
        <f t="shared" si="50"/>
        <v>-965</v>
      </c>
      <c r="G41" s="490" t="str">
        <f t="shared" si="51"/>
        <v/>
      </c>
      <c r="H41" s="489">
        <f t="shared" si="52"/>
        <v>-965</v>
      </c>
      <c r="I41" s="491" t="str">
        <f t="shared" si="53"/>
        <v/>
      </c>
      <c r="J41" s="554">
        <f t="shared" si="54"/>
        <v>-965</v>
      </c>
      <c r="K41" s="526">
        <f t="shared" si="55"/>
        <v>35</v>
      </c>
      <c r="L41" s="555" t="s">
        <v>285</v>
      </c>
      <c r="M41" s="556"/>
      <c r="N41" s="557"/>
      <c r="O41" s="558"/>
      <c r="P41" s="559" t="s">
        <v>269</v>
      </c>
      <c r="Q41" s="560" t="s">
        <v>148</v>
      </c>
      <c r="R41" s="539">
        <f>(IF(COUNT(Z41,AA41,AB41,AC41,AD41,AE41,AF41,AG41,AH41,AI41)&lt;10,SUM(Z41,AA41,AB41,AC41,AD41,AE41,AF41,AG41,AH41,AI41),SUM(LARGE((Z41,AA41,AB41,AC41,AD41,AE41,AF41,AG41,AH41,AI41),{1;2;3;4;5;6;7;8;9}))))</f>
        <v>38</v>
      </c>
      <c r="S41" s="561" t="str">
        <f>INDEX([1]ETAPP!B$1:B$32,MATCH(COUNTIF(BI41:BR41,1),[1]ETAPP!A$1:A$32,0))&amp;INDEX([1]ETAPP!B$1:B$32,MATCH(COUNTIF(BI41:BR41,2),[1]ETAPP!A$1:A$32,0))&amp;INDEX([1]ETAPP!B$1:B$32,MATCH(COUNTIF(BI41:BR41,3),[1]ETAPP!A$1:A$32,0))&amp;INDEX([1]ETAPP!B$1:B$32,MATCH(COUNTIF(BI41:BR41,4),[1]ETAPP!A$1:A$32,0))&amp;INDEX([1]ETAPP!B$1:B$32,MATCH(COUNTIF(BI41:BR41,5),[1]ETAPP!A$1:A$32,0))&amp;INDEX([1]ETAPP!B$1:B$32,MATCH(COUNTIF(BI41:BR41,6),[1]ETAPP!A$1:A$32,0))&amp;INDEX([1]ETAPP!B$1:B$32,MATCH(COUNTIF(BI41:BR41,7),[1]ETAPP!A$1:A$32,0))&amp;INDEX([1]ETAPP!B$1:B$32,MATCH(COUNTIF(BI41:BR41,8),[1]ETAPP!A$1:A$32,0))&amp;INDEX([1]ETAPP!B$1:B$32,MATCH(COUNTIF(BI41:BR41,9),[1]ETAPP!A$1:A$32,0))&amp;INDEX([1]ETAPP!B$1:B$32,MATCH(COUNTIF(BI41:BR41,10),[1]ETAPP!A$1:A$32,0))&amp;INDEX([1]ETAPP!B$1:B$32,MATCH(COUNTIF(BI41:BR41,11),[1]ETAPP!A$1:A$32,0))&amp;INDEX([1]ETAPP!B$1:B$32,MATCH(COUNTIF(BI41:BR41,12),[1]ETAPP!A$1:A$32,0))&amp;INDEX([1]ETAPP!B$1:B$32,MATCH(COUNTIF(BI41:BR41,13),[1]ETAPP!A$1:A$32,0))&amp;INDEX([1]ETAPP!B$1:B$32,MATCH(COUNTIF(BI41:BR41,14),[1]ETAPP!A$1:A$32,0))&amp;INDEX([1]ETAPP!B$1:B$32,MATCH(COUNTIF(BI41:BR41,15),[1]ETAPP!A$1:A$32,0))&amp;INDEX([1]ETAPP!B$1:B$32,MATCH(COUNTIF(BI41:BR41,16),[1]ETAPP!A$1:A$32,0))&amp;INDEX([1]ETAPP!B$1:B$32,MATCH(COUNTIF(BI41:BR41,17),[1]ETAPP!A$1:A$32,0))&amp;INDEX([1]ETAPP!B$1:B$32,MATCH(COUNTIF(BI41:BR41,18),[1]ETAPP!A$1:A$32,0))&amp;INDEX([1]ETAPP!B$1:B$32,MATCH(COUNTIF(BI41:BR41,19),[1]ETAPP!A$1:A$32,0))&amp;INDEX([1]ETAPP!B$1:B$32,MATCH(COUNTIF(BI41:BR41,20),[1]ETAPP!A$1:A$32,0))&amp;INDEX([1]ETAPP!B$1:B$32,MATCH(COUNTIF(BI41:BR41,21),[1]ETAPP!A$1:A$32,0))</f>
        <v>0000000AA000000000000</v>
      </c>
      <c r="T41" s="561" t="str">
        <f t="shared" si="56"/>
        <v>038,0-0000000AA000000000000</v>
      </c>
      <c r="U41" s="561">
        <f t="shared" si="57"/>
        <v>35</v>
      </c>
      <c r="V41" s="561">
        <f t="shared" si="58"/>
        <v>75</v>
      </c>
      <c r="W41" s="561" t="str">
        <f t="shared" si="59"/>
        <v>038,0-0000000AA000000000000-075</v>
      </c>
      <c r="X41" s="561">
        <f t="shared" si="60"/>
        <v>35</v>
      </c>
      <c r="Y41" s="562">
        <f t="shared" si="61"/>
        <v>80</v>
      </c>
      <c r="Z41" s="563" t="str">
        <f>IFERROR(INDEX('V1'!C$300:C$400,MATCH("*"&amp;L41&amp;"*",'V1'!B$300:B$400,0)),"  ")</f>
        <v xml:space="preserve">  </v>
      </c>
      <c r="AA41" s="563" t="str">
        <f>IFERROR(INDEX('V2'!C$300:C$400,MATCH("*"&amp;L41&amp;"*",'V2'!B$300:B$400,0)),"  ")</f>
        <v xml:space="preserve">  </v>
      </c>
      <c r="AB41" s="563" t="str">
        <f>IFERROR(INDEX('V3'!C$300:C$400,MATCH("*"&amp;L41&amp;"*",'V3'!B$300:B$400,0)),"  ")</f>
        <v xml:space="preserve">  </v>
      </c>
      <c r="AC41" s="563" t="str">
        <f>IFERROR(INDEX('V4'!C$300:C$400,MATCH("*"&amp;L41&amp;"*",'V4'!B$300:B$400,0)),"  ")</f>
        <v xml:space="preserve">  </v>
      </c>
      <c r="AD41" s="563">
        <f>IFERROR(INDEX('V5'!C$300:C$400,MATCH("*"&amp;L41&amp;"*",'V5'!B$300:B$400,0)),"  ")</f>
        <v>20</v>
      </c>
      <c r="AE41" s="563">
        <f>IFERROR(INDEX('V6'!C$300:C$400,MATCH("*"&amp;L41&amp;"*",'V6'!B$300:B$400,0)),"  ")</f>
        <v>18</v>
      </c>
      <c r="AF41" s="563" t="str">
        <f>IFERROR(INDEX('V7'!C$300:C$400,MATCH("*"&amp;L41&amp;"*",'V7'!B$300:B$400,0)),"  ")</f>
        <v xml:space="preserve">  </v>
      </c>
      <c r="AG41" s="563" t="str">
        <f>IFERROR(INDEX('V8'!C$300:C$400,MATCH("*"&amp;L41&amp;"*",'V8'!B$300:B$400,0)),"  ")</f>
        <v xml:space="preserve">  </v>
      </c>
      <c r="AH41" s="563" t="str">
        <f>IFERROR(INDEX('V9'!C$300:C$400,MATCH("*"&amp;L41&amp;"*",'V9'!B$300:B$400,0)),"  ")</f>
        <v xml:space="preserve">  </v>
      </c>
      <c r="AI41" s="563" t="str">
        <f>IFERROR(INDEX('V10'!C$300:C$400,MATCH("*"&amp;L41&amp;"*",'V10'!B$300:B$400,0)),"  ")</f>
        <v xml:space="preserve">  </v>
      </c>
      <c r="AJ41" s="564" t="str">
        <f t="shared" si="62"/>
        <v/>
      </c>
      <c r="AK41" s="565">
        <f t="shared" si="63"/>
        <v>38</v>
      </c>
      <c r="AL41" s="566">
        <f t="shared" si="64"/>
        <v>35</v>
      </c>
      <c r="AM41" s="567" t="str">
        <f>IFERROR(INDEX(#REF!,MATCH("*"&amp;L41&amp;"*",#REF!,0)),"  ")</f>
        <v xml:space="preserve">  </v>
      </c>
      <c r="AN41" s="568">
        <f t="shared" si="65"/>
        <v>2</v>
      </c>
      <c r="AO41" s="469">
        <f t="shared" si="66"/>
        <v>0</v>
      </c>
      <c r="AP41" s="469">
        <f t="shared" si="67"/>
        <v>0</v>
      </c>
      <c r="AQ41" s="569"/>
      <c r="AR41" s="569"/>
      <c r="AS41" s="569"/>
      <c r="AT41" s="570">
        <f t="shared" si="68"/>
        <v>1E-4</v>
      </c>
      <c r="AU41" s="571">
        <f t="shared" si="69"/>
        <v>1E-4</v>
      </c>
      <c r="AV41" s="571">
        <f t="shared" si="70"/>
        <v>2.0000000000000001E-4</v>
      </c>
      <c r="AW41" s="571">
        <f t="shared" si="71"/>
        <v>2.9999999999999997E-4</v>
      </c>
      <c r="AX41" s="571">
        <f t="shared" si="72"/>
        <v>4.0000000000000002E-4</v>
      </c>
      <c r="AY41" s="571">
        <f t="shared" si="73"/>
        <v>20.000499999999999</v>
      </c>
      <c r="AZ41" s="571">
        <f t="shared" si="74"/>
        <v>18.000599999999999</v>
      </c>
      <c r="BA41" s="571">
        <f t="shared" si="75"/>
        <v>6.9999999999999999E-4</v>
      </c>
      <c r="BB41" s="571">
        <f t="shared" si="76"/>
        <v>8.0000000000000004E-4</v>
      </c>
      <c r="BC41" s="571">
        <f t="shared" si="77"/>
        <v>8.9999999999999998E-4</v>
      </c>
      <c r="BD41" s="571">
        <f t="shared" si="78"/>
        <v>1E-3</v>
      </c>
      <c r="BE41" s="569"/>
      <c r="BF41" s="569"/>
      <c r="BG41" s="569"/>
      <c r="BH41" s="569"/>
      <c r="BI41" s="377" t="e">
        <f t="shared" si="79"/>
        <v>#VALUE!</v>
      </c>
      <c r="BJ41" s="377" t="e">
        <f t="shared" si="80"/>
        <v>#VALUE!</v>
      </c>
      <c r="BK41" s="377" t="e">
        <f t="shared" si="81"/>
        <v>#VALUE!</v>
      </c>
      <c r="BL41" s="377" t="e">
        <f t="shared" si="82"/>
        <v>#VALUE!</v>
      </c>
      <c r="BM41" s="377">
        <f t="shared" si="83"/>
        <v>9</v>
      </c>
      <c r="BN41" s="377">
        <f t="shared" si="84"/>
        <v>8</v>
      </c>
      <c r="BO41" s="377" t="e">
        <f t="shared" si="85"/>
        <v>#VALUE!</v>
      </c>
      <c r="BP41" s="377" t="e">
        <f t="shared" si="86"/>
        <v>#VALUE!</v>
      </c>
      <c r="BQ41" s="377" t="e">
        <f t="shared" si="87"/>
        <v>#VALUE!</v>
      </c>
      <c r="BR41" s="377" t="e">
        <f t="shared" si="88"/>
        <v>#VALUE!</v>
      </c>
    </row>
    <row r="42" spans="1:70" ht="12.75" customHeight="1" x14ac:dyDescent="0.2">
      <c r="A42" s="484" t="str">
        <f t="shared" si="45"/>
        <v/>
      </c>
      <c r="B42" s="485">
        <f t="shared" si="46"/>
        <v>-964</v>
      </c>
      <c r="C42" s="486" t="str">
        <f t="shared" si="47"/>
        <v/>
      </c>
      <c r="D42" s="487">
        <f t="shared" si="48"/>
        <v>-964</v>
      </c>
      <c r="E42" s="488">
        <f t="shared" si="49"/>
        <v>29</v>
      </c>
      <c r="F42" s="489">
        <f t="shared" si="50"/>
        <v>36</v>
      </c>
      <c r="G42" s="490" t="str">
        <f t="shared" si="51"/>
        <v/>
      </c>
      <c r="H42" s="489">
        <f t="shared" si="52"/>
        <v>-964</v>
      </c>
      <c r="I42" s="491" t="str">
        <f t="shared" si="53"/>
        <v/>
      </c>
      <c r="J42" s="554">
        <f t="shared" si="54"/>
        <v>-964</v>
      </c>
      <c r="K42" s="526">
        <f t="shared" si="55"/>
        <v>36</v>
      </c>
      <c r="L42" s="572" t="s">
        <v>182</v>
      </c>
      <c r="M42" s="556"/>
      <c r="N42" s="557" t="str">
        <f>IF(M42="","m","")</f>
        <v>m</v>
      </c>
      <c r="O42" s="558"/>
      <c r="P42" s="559"/>
      <c r="Q42" s="560" t="s">
        <v>270</v>
      </c>
      <c r="R42" s="539">
        <f>(IF(COUNT(Z42,AA42,AB42,AC42,AD42,AE42,AF42,AG42,AH42,AI42)&lt;10,SUM(Z42,AA42,AB42,AC42,AD42,AE42,AF42,AG42,AH42,AI42),SUM(LARGE((Z42,AA42,AB42,AC42,AD42,AE42,AF42,AG42,AH42,AI42),{1;2;3;4;5;6;7;8;9}))))</f>
        <v>38</v>
      </c>
      <c r="S42" s="561" t="str">
        <f>INDEX([1]ETAPP!B$1:B$32,MATCH(COUNTIF(BI42:BR42,1),[1]ETAPP!A$1:A$32,0))&amp;INDEX([1]ETAPP!B$1:B$32,MATCH(COUNTIF(BI42:BR42,2),[1]ETAPP!A$1:A$32,0))&amp;INDEX([1]ETAPP!B$1:B$32,MATCH(COUNTIF(BI42:BR42,3),[1]ETAPP!A$1:A$32,0))&amp;INDEX([1]ETAPP!B$1:B$32,MATCH(COUNTIF(BI42:BR42,4),[1]ETAPP!A$1:A$32,0))&amp;INDEX([1]ETAPP!B$1:B$32,MATCH(COUNTIF(BI42:BR42,5),[1]ETAPP!A$1:A$32,0))&amp;INDEX([1]ETAPP!B$1:B$32,MATCH(COUNTIF(BI42:BR42,6),[1]ETAPP!A$1:A$32,0))&amp;INDEX([1]ETAPP!B$1:B$32,MATCH(COUNTIF(BI42:BR42,7),[1]ETAPP!A$1:A$32,0))&amp;INDEX([1]ETAPP!B$1:B$32,MATCH(COUNTIF(BI42:BR42,8),[1]ETAPP!A$1:A$32,0))&amp;INDEX([1]ETAPP!B$1:B$32,MATCH(COUNTIF(BI42:BR42,9),[1]ETAPP!A$1:A$32,0))&amp;INDEX([1]ETAPP!B$1:B$32,MATCH(COUNTIF(BI42:BR42,10),[1]ETAPP!A$1:A$32,0))&amp;INDEX([1]ETAPP!B$1:B$32,MATCH(COUNTIF(BI42:BR42,11),[1]ETAPP!A$1:A$32,0))&amp;INDEX([1]ETAPP!B$1:B$32,MATCH(COUNTIF(BI42:BR42,12),[1]ETAPP!A$1:A$32,0))&amp;INDEX([1]ETAPP!B$1:B$32,MATCH(COUNTIF(BI42:BR42,13),[1]ETAPP!A$1:A$32,0))&amp;INDEX([1]ETAPP!B$1:B$32,MATCH(COUNTIF(BI42:BR42,14),[1]ETAPP!A$1:A$32,0))&amp;INDEX([1]ETAPP!B$1:B$32,MATCH(COUNTIF(BI42:BR42,15),[1]ETAPP!A$1:A$32,0))&amp;INDEX([1]ETAPP!B$1:B$32,MATCH(COUNTIF(BI42:BR42,16),[1]ETAPP!A$1:A$32,0))&amp;INDEX([1]ETAPP!B$1:B$32,MATCH(COUNTIF(BI42:BR42,17),[1]ETAPP!A$1:A$32,0))&amp;INDEX([1]ETAPP!B$1:B$32,MATCH(COUNTIF(BI42:BR42,18),[1]ETAPP!A$1:A$32,0))&amp;INDEX([1]ETAPP!B$1:B$32,MATCH(COUNTIF(BI42:BR42,19),[1]ETAPP!A$1:A$32,0))&amp;INDEX([1]ETAPP!B$1:B$32,MATCH(COUNTIF(BI42:BR42,20),[1]ETAPP!A$1:A$32,0))&amp;INDEX([1]ETAPP!B$1:B$32,MATCH(COUNTIF(BI42:BR42,21),[1]ETAPP!A$1:A$32,0))</f>
        <v>00000000AA0ABA0000000</v>
      </c>
      <c r="T42" s="561" t="str">
        <f t="shared" si="56"/>
        <v>038,0-00000000AA0ABA0000000</v>
      </c>
      <c r="U42" s="561">
        <f t="shared" si="57"/>
        <v>36</v>
      </c>
      <c r="V42" s="561">
        <f t="shared" si="58"/>
        <v>14</v>
      </c>
      <c r="W42" s="561" t="str">
        <f t="shared" si="59"/>
        <v>038,0-00000000AA0ABA0000000-014</v>
      </c>
      <c r="X42" s="561">
        <f t="shared" si="60"/>
        <v>36</v>
      </c>
      <c r="Y42" s="562">
        <f t="shared" si="61"/>
        <v>79</v>
      </c>
      <c r="Z42" s="563">
        <f>IFERROR(INDEX('V1'!C$300:C$400,MATCH("*"&amp;L42&amp;"*",'V1'!B$300:B$400,0)),"  ")</f>
        <v>2</v>
      </c>
      <c r="AA42" s="563">
        <f>IFERROR(INDEX('V2'!C$300:C$400,MATCH("*"&amp;L42&amp;"*",'V2'!B$300:B$400,0)),"  ")</f>
        <v>6</v>
      </c>
      <c r="AB42" s="563">
        <f>IFERROR(INDEX('V3'!C$300:C$400,MATCH("*"&amp;L42&amp;"*",'V3'!B$300:B$400,0)),"  ")</f>
        <v>4</v>
      </c>
      <c r="AC42" s="563" t="str">
        <f>IFERROR(INDEX('V4'!C$300:C$400,MATCH("*"&amp;L42&amp;"*",'V4'!B$300:B$400,0)),"  ")</f>
        <v xml:space="preserve">  </v>
      </c>
      <c r="AD42" s="563">
        <f>IFERROR(INDEX('V5'!C$300:C$400,MATCH("*"&amp;L42&amp;"*",'V5'!B$300:B$400,0)),"  ")</f>
        <v>18</v>
      </c>
      <c r="AE42" s="563" t="str">
        <f>IFERROR(INDEX('V6'!C$300:C$400,MATCH("*"&amp;L42&amp;"*",'V6'!B$300:B$400,0)),"  ")</f>
        <v xml:space="preserve">  </v>
      </c>
      <c r="AF42" s="563" t="str">
        <f>IFERROR(INDEX('V7'!C$300:C$400,MATCH("*"&amp;L42&amp;"*",'V7'!B$300:B$400,0)),"  ")</f>
        <v xml:space="preserve">  </v>
      </c>
      <c r="AG42" s="563">
        <f>IFERROR(INDEX('V8'!C$300:C$400,MATCH("*"&amp;L42&amp;"*",'V8'!B$300:B$400,0)),"  ")</f>
        <v>2</v>
      </c>
      <c r="AH42" s="563">
        <f>IFERROR(INDEX('V9'!C$300:C$400,MATCH("*"&amp;L42&amp;"*",'V9'!B$300:B$400,0)),"  ")</f>
        <v>6</v>
      </c>
      <c r="AI42" s="563" t="str">
        <f>IFERROR(INDEX('V10'!C$300:C$400,MATCH("*"&amp;L42&amp;"*",'V10'!B$300:B$400,0)),"  ")</f>
        <v xml:space="preserve">  </v>
      </c>
      <c r="AJ42" s="564">
        <f t="shared" si="62"/>
        <v>36</v>
      </c>
      <c r="AK42" s="565">
        <f t="shared" si="63"/>
        <v>38</v>
      </c>
      <c r="AL42" s="566" t="str">
        <f t="shared" si="64"/>
        <v>edasi 33</v>
      </c>
      <c r="AM42" s="567" t="str">
        <f>IFERROR(INDEX(#REF!,MATCH("*"&amp;L42&amp;"*",#REF!,0)),"  ")</f>
        <v xml:space="preserve">  </v>
      </c>
      <c r="AN42" s="568">
        <f t="shared" si="65"/>
        <v>6</v>
      </c>
      <c r="AO42" s="469">
        <f t="shared" si="66"/>
        <v>0</v>
      </c>
      <c r="AP42" s="469">
        <f t="shared" si="67"/>
        <v>0</v>
      </c>
      <c r="AQ42" s="569"/>
      <c r="AR42" s="569"/>
      <c r="AS42" s="569"/>
      <c r="AT42" s="570">
        <f t="shared" si="68"/>
        <v>4.0000000000000002E-4</v>
      </c>
      <c r="AU42" s="571">
        <f t="shared" si="69"/>
        <v>2.0001000000000002</v>
      </c>
      <c r="AV42" s="571">
        <f t="shared" si="70"/>
        <v>6.0002000000000004</v>
      </c>
      <c r="AW42" s="571">
        <f t="shared" si="71"/>
        <v>4.0003000000000002</v>
      </c>
      <c r="AX42" s="571">
        <f t="shared" si="72"/>
        <v>4.0000000000000002E-4</v>
      </c>
      <c r="AY42" s="571">
        <f t="shared" si="73"/>
        <v>18.000499999999999</v>
      </c>
      <c r="AZ42" s="571">
        <f t="shared" si="74"/>
        <v>5.9999999999999995E-4</v>
      </c>
      <c r="BA42" s="571">
        <f t="shared" si="75"/>
        <v>6.9999999999999999E-4</v>
      </c>
      <c r="BB42" s="571">
        <f t="shared" si="76"/>
        <v>2.0007999999999999</v>
      </c>
      <c r="BC42" s="571">
        <f t="shared" si="77"/>
        <v>6.0008999999999997</v>
      </c>
      <c r="BD42" s="571">
        <f t="shared" si="78"/>
        <v>1E-3</v>
      </c>
      <c r="BE42" s="569"/>
      <c r="BF42" s="569"/>
      <c r="BG42" s="569"/>
      <c r="BH42" s="569"/>
      <c r="BI42" s="377">
        <f t="shared" si="79"/>
        <v>13</v>
      </c>
      <c r="BJ42" s="377">
        <f t="shared" si="80"/>
        <v>13</v>
      </c>
      <c r="BK42" s="377">
        <f t="shared" si="81"/>
        <v>14</v>
      </c>
      <c r="BL42" s="377" t="e">
        <f t="shared" si="82"/>
        <v>#VALUE!</v>
      </c>
      <c r="BM42" s="377">
        <f t="shared" si="83"/>
        <v>10</v>
      </c>
      <c r="BN42" s="377" t="e">
        <f t="shared" si="84"/>
        <v>#VALUE!</v>
      </c>
      <c r="BO42" s="377" t="e">
        <f t="shared" si="85"/>
        <v>#VALUE!</v>
      </c>
      <c r="BP42" s="377">
        <f t="shared" si="86"/>
        <v>9</v>
      </c>
      <c r="BQ42" s="377">
        <f t="shared" si="87"/>
        <v>12</v>
      </c>
      <c r="BR42" s="377" t="e">
        <f t="shared" si="88"/>
        <v>#VALUE!</v>
      </c>
    </row>
    <row r="43" spans="1:70" ht="12.75" customHeight="1" x14ac:dyDescent="0.2">
      <c r="A43" s="484" t="str">
        <f t="shared" si="45"/>
        <v/>
      </c>
      <c r="B43" s="485">
        <f t="shared" si="46"/>
        <v>-963</v>
      </c>
      <c r="C43" s="486" t="str">
        <f t="shared" si="47"/>
        <v/>
      </c>
      <c r="D43" s="487">
        <f t="shared" si="48"/>
        <v>-963</v>
      </c>
      <c r="E43" s="488">
        <f t="shared" si="49"/>
        <v>30</v>
      </c>
      <c r="F43" s="489">
        <f t="shared" si="50"/>
        <v>37</v>
      </c>
      <c r="G43" s="490" t="str">
        <f t="shared" si="51"/>
        <v/>
      </c>
      <c r="H43" s="489">
        <f t="shared" si="52"/>
        <v>-963</v>
      </c>
      <c r="I43" s="491" t="str">
        <f t="shared" si="53"/>
        <v/>
      </c>
      <c r="J43" s="554">
        <f t="shared" si="54"/>
        <v>-963</v>
      </c>
      <c r="K43" s="526">
        <f t="shared" si="55"/>
        <v>37</v>
      </c>
      <c r="L43" s="573" t="s">
        <v>221</v>
      </c>
      <c r="M43" s="556"/>
      <c r="N43" s="557" t="str">
        <f>IF(M43="","m","")</f>
        <v>m</v>
      </c>
      <c r="O43" s="558"/>
      <c r="P43" s="559"/>
      <c r="Q43" s="560" t="s">
        <v>270</v>
      </c>
      <c r="R43" s="539">
        <f>(IF(COUNT(Z43,AA43,AB43,AC43,AD43,AE43,AF43,AG43,AH43,AI43)&lt;10,SUM(Z43,AA43,AB43,AC43,AD43,AE43,AF43,AG43,AH43,AI43),SUM(LARGE((Z43,AA43,AB43,AC43,AD43,AE43,AF43,AG43,AH43,AI43),{1;2;3;4;5;6;7;8;9}))))</f>
        <v>32</v>
      </c>
      <c r="S43" s="561" t="str">
        <f>INDEX([1]ETAPP!B$1:B$32,MATCH(COUNTIF(BI43:BR43,1),[1]ETAPP!A$1:A$32,0))&amp;INDEX([1]ETAPP!B$1:B$32,MATCH(COUNTIF(BI43:BR43,2),[1]ETAPP!A$1:A$32,0))&amp;INDEX([1]ETAPP!B$1:B$32,MATCH(COUNTIF(BI43:BR43,3),[1]ETAPP!A$1:A$32,0))&amp;INDEX([1]ETAPP!B$1:B$32,MATCH(COUNTIF(BI43:BR43,4),[1]ETAPP!A$1:A$32,0))&amp;INDEX([1]ETAPP!B$1:B$32,MATCH(COUNTIF(BI43:BR43,5),[1]ETAPP!A$1:A$32,0))&amp;INDEX([1]ETAPP!B$1:B$32,MATCH(COUNTIF(BI43:BR43,6),[1]ETAPP!A$1:A$32,0))&amp;INDEX([1]ETAPP!B$1:B$32,MATCH(COUNTIF(BI43:BR43,7),[1]ETAPP!A$1:A$32,0))&amp;INDEX([1]ETAPP!B$1:B$32,MATCH(COUNTIF(BI43:BR43,8),[1]ETAPP!A$1:A$32,0))&amp;INDEX([1]ETAPP!B$1:B$32,MATCH(COUNTIF(BI43:BR43,9),[1]ETAPP!A$1:A$32,0))&amp;INDEX([1]ETAPP!B$1:B$32,MATCH(COUNTIF(BI43:BR43,10),[1]ETAPP!A$1:A$32,0))&amp;INDEX([1]ETAPP!B$1:B$32,MATCH(COUNTIF(BI43:BR43,11),[1]ETAPP!A$1:A$32,0))&amp;INDEX([1]ETAPP!B$1:B$32,MATCH(COUNTIF(BI43:BR43,12),[1]ETAPP!A$1:A$32,0))&amp;INDEX([1]ETAPP!B$1:B$32,MATCH(COUNTIF(BI43:BR43,13),[1]ETAPP!A$1:A$32,0))&amp;INDEX([1]ETAPP!B$1:B$32,MATCH(COUNTIF(BI43:BR43,14),[1]ETAPP!A$1:A$32,0))&amp;INDEX([1]ETAPP!B$1:B$32,MATCH(COUNTIF(BI43:BR43,15),[1]ETAPP!A$1:A$32,0))&amp;INDEX([1]ETAPP!B$1:B$32,MATCH(COUNTIF(BI43:BR43,16),[1]ETAPP!A$1:A$32,0))&amp;INDEX([1]ETAPP!B$1:B$32,MATCH(COUNTIF(BI43:BR43,17),[1]ETAPP!A$1:A$32,0))&amp;INDEX([1]ETAPP!B$1:B$32,MATCH(COUNTIF(BI43:BR43,18),[1]ETAPP!A$1:A$32,0))&amp;INDEX([1]ETAPP!B$1:B$32,MATCH(COUNTIF(BI43:BR43,19),[1]ETAPP!A$1:A$32,0))&amp;INDEX([1]ETAPP!B$1:B$32,MATCH(COUNTIF(BI43:BR43,20),[1]ETAPP!A$1:A$32,0))&amp;INDEX([1]ETAPP!B$1:B$32,MATCH(COUNTIF(BI43:BR43,21),[1]ETAPP!A$1:A$32,0))</f>
        <v>0A00000000A0000000000</v>
      </c>
      <c r="T43" s="561" t="str">
        <f t="shared" si="56"/>
        <v>032,0-0A00000000A0000000000</v>
      </c>
      <c r="U43" s="561">
        <f t="shared" si="57"/>
        <v>37</v>
      </c>
      <c r="V43" s="561">
        <f t="shared" si="58"/>
        <v>78</v>
      </c>
      <c r="W43" s="561" t="str">
        <f t="shared" si="59"/>
        <v>032,0-0A00000000A0000000000-078</v>
      </c>
      <c r="X43" s="561">
        <f t="shared" si="60"/>
        <v>37</v>
      </c>
      <c r="Y43" s="562">
        <f t="shared" si="61"/>
        <v>78</v>
      </c>
      <c r="Z43" s="563" t="str">
        <f>IFERROR(INDEX('V1'!C$300:C$400,MATCH("*"&amp;L43&amp;"*",'V1'!B$300:B$400,0)),"  ")</f>
        <v xml:space="preserve">  </v>
      </c>
      <c r="AA43" s="563">
        <f>IFERROR(INDEX('V2'!C$300:C$400,MATCH("*"&amp;L43&amp;"*",'V2'!B$300:B$400,0)),"  ")</f>
        <v>10</v>
      </c>
      <c r="AB43" s="563" t="str">
        <f>IFERROR(INDEX('V3'!C$300:C$400,MATCH("*"&amp;L43&amp;"*",'V3'!B$300:B$400,0)),"  ")</f>
        <v xml:space="preserve">  </v>
      </c>
      <c r="AC43" s="563" t="str">
        <f>IFERROR(INDEX('V4'!C$300:C$400,MATCH("*"&amp;L43&amp;"*",'V4'!B$300:B$400,0)),"  ")</f>
        <v xml:space="preserve">  </v>
      </c>
      <c r="AD43" s="563" t="str">
        <f>IFERROR(INDEX('V5'!C$300:C$400,MATCH("*"&amp;L43&amp;"*",'V5'!B$300:B$400,0)),"  ")</f>
        <v xml:space="preserve">  </v>
      </c>
      <c r="AE43" s="563" t="str">
        <f>IFERROR(INDEX('V6'!C$300:C$400,MATCH("*"&amp;L43&amp;"*",'V6'!B$300:B$400,0)),"  ")</f>
        <v xml:space="preserve">  </v>
      </c>
      <c r="AF43" s="563" t="str">
        <f>IFERROR(INDEX('V7'!C$300:C$400,MATCH("*"&amp;L43&amp;"*",'V7'!B$300:B$400,0)),"  ")</f>
        <v xml:space="preserve">  </v>
      </c>
      <c r="AG43" s="563" t="str">
        <f>IFERROR(INDEX('V8'!C$300:C$400,MATCH("*"&amp;L43&amp;"*",'V8'!B$300:B$400,0)),"  ")</f>
        <v xml:space="preserve">  </v>
      </c>
      <c r="AH43" s="563" t="str">
        <f>IFERROR(INDEX('V9'!C$300:C$400,MATCH("*"&amp;L43&amp;"*",'V9'!B$300:B$400,0)),"  ")</f>
        <v xml:space="preserve">  </v>
      </c>
      <c r="AI43" s="563">
        <f>IFERROR(INDEX('V10'!C$300:C$400,MATCH("*"&amp;L43&amp;"*",'V10'!B$300:B$400,0)),"  ")</f>
        <v>22</v>
      </c>
      <c r="AJ43" s="564" t="str">
        <f t="shared" si="62"/>
        <v/>
      </c>
      <c r="AK43" s="565">
        <f t="shared" si="63"/>
        <v>32</v>
      </c>
      <c r="AL43" s="566">
        <f t="shared" si="64"/>
        <v>37</v>
      </c>
      <c r="AM43" s="567" t="str">
        <f>IFERROR(INDEX(#REF!,MATCH("*"&amp;L43&amp;"*",#REF!,0)),"  ")</f>
        <v xml:space="preserve">  </v>
      </c>
      <c r="AN43" s="568">
        <f t="shared" si="65"/>
        <v>2</v>
      </c>
      <c r="AO43" s="469">
        <f t="shared" si="66"/>
        <v>1</v>
      </c>
      <c r="AP43" s="469">
        <f t="shared" si="67"/>
        <v>0</v>
      </c>
      <c r="AQ43" s="569"/>
      <c r="AR43" s="569"/>
      <c r="AS43" s="569"/>
      <c r="AT43" s="570">
        <f t="shared" si="68"/>
        <v>1E-4</v>
      </c>
      <c r="AU43" s="571">
        <f t="shared" si="69"/>
        <v>1E-4</v>
      </c>
      <c r="AV43" s="571">
        <f t="shared" si="70"/>
        <v>10.0002</v>
      </c>
      <c r="AW43" s="571">
        <f t="shared" si="71"/>
        <v>2.9999999999999997E-4</v>
      </c>
      <c r="AX43" s="571">
        <f t="shared" si="72"/>
        <v>4.0000000000000002E-4</v>
      </c>
      <c r="AY43" s="571">
        <f t="shared" si="73"/>
        <v>5.0000000000000001E-4</v>
      </c>
      <c r="AZ43" s="571">
        <f t="shared" si="74"/>
        <v>5.9999999999999995E-4</v>
      </c>
      <c r="BA43" s="571">
        <f t="shared" si="75"/>
        <v>6.9999999999999999E-4</v>
      </c>
      <c r="BB43" s="571">
        <f t="shared" si="76"/>
        <v>8.0000000000000004E-4</v>
      </c>
      <c r="BC43" s="571">
        <f t="shared" si="77"/>
        <v>8.9999999999999998E-4</v>
      </c>
      <c r="BD43" s="571">
        <f t="shared" si="78"/>
        <v>22.001000000000001</v>
      </c>
      <c r="BE43" s="569"/>
      <c r="BF43" s="569"/>
      <c r="BG43" s="569"/>
      <c r="BH43" s="569"/>
      <c r="BI43" s="377" t="e">
        <f t="shared" si="79"/>
        <v>#VALUE!</v>
      </c>
      <c r="BJ43" s="377">
        <f t="shared" si="80"/>
        <v>11</v>
      </c>
      <c r="BK43" s="377" t="e">
        <f t="shared" si="81"/>
        <v>#VALUE!</v>
      </c>
      <c r="BL43" s="377" t="e">
        <f t="shared" si="82"/>
        <v>#VALUE!</v>
      </c>
      <c r="BM43" s="377" t="e">
        <f t="shared" si="83"/>
        <v>#VALUE!</v>
      </c>
      <c r="BN43" s="377" t="e">
        <f t="shared" si="84"/>
        <v>#VALUE!</v>
      </c>
      <c r="BO43" s="377" t="e">
        <f t="shared" si="85"/>
        <v>#VALUE!</v>
      </c>
      <c r="BP43" s="377" t="e">
        <f t="shared" si="86"/>
        <v>#VALUE!</v>
      </c>
      <c r="BQ43" s="377" t="e">
        <f t="shared" si="87"/>
        <v>#VALUE!</v>
      </c>
      <c r="BR43" s="377">
        <f t="shared" si="88"/>
        <v>2</v>
      </c>
    </row>
    <row r="44" spans="1:70" ht="12.75" customHeight="1" x14ac:dyDescent="0.2">
      <c r="A44" s="484">
        <f t="shared" si="45"/>
        <v>29</v>
      </c>
      <c r="B44" s="485">
        <f t="shared" si="46"/>
        <v>39</v>
      </c>
      <c r="C44" s="486">
        <f t="shared" si="47"/>
        <v>16</v>
      </c>
      <c r="D44" s="487">
        <f t="shared" si="48"/>
        <v>39</v>
      </c>
      <c r="E44" s="488" t="str">
        <f t="shared" si="49"/>
        <v/>
      </c>
      <c r="F44" s="489">
        <f t="shared" si="50"/>
        <v>-961</v>
      </c>
      <c r="G44" s="490">
        <f t="shared" si="51"/>
        <v>8</v>
      </c>
      <c r="H44" s="489">
        <f t="shared" si="52"/>
        <v>39</v>
      </c>
      <c r="I44" s="491" t="str">
        <f t="shared" si="53"/>
        <v/>
      </c>
      <c r="J44" s="554">
        <f t="shared" si="54"/>
        <v>-961</v>
      </c>
      <c r="K44" s="526">
        <f t="shared" si="55"/>
        <v>38</v>
      </c>
      <c r="L44" s="585" t="s">
        <v>208</v>
      </c>
      <c r="M44" s="556" t="s">
        <v>170</v>
      </c>
      <c r="N44" s="557" t="str">
        <f>IF(M44="","m","")</f>
        <v/>
      </c>
      <c r="O44" s="558"/>
      <c r="P44" s="559" t="s">
        <v>269</v>
      </c>
      <c r="Q44" s="560" t="s">
        <v>148</v>
      </c>
      <c r="R44" s="539">
        <f>(IF(COUNT(Z44,AA44,AB44,AC44,AD44,AE44,AF44,AG44,AH44,AI44)&lt;10,SUM(Z44,AA44,AB44,AC44,AD44,AE44,AF44,AG44,AH44,AI44),SUM(LARGE((Z44,AA44,AB44,AC44,AD44,AE44,AF44,AG44,AH44,AI44),{1;2;3;4;5;6;7;8;9}))))</f>
        <v>24</v>
      </c>
      <c r="S44" s="561" t="str">
        <f>INDEX([1]ETAPP!B$1:B$32,MATCH(COUNTIF(BI44:BR44,1),[1]ETAPP!A$1:A$32,0))&amp;INDEX([1]ETAPP!B$1:B$32,MATCH(COUNTIF(BI44:BR44,2),[1]ETAPP!A$1:A$32,0))&amp;INDEX([1]ETAPP!B$1:B$32,MATCH(COUNTIF(BI44:BR44,3),[1]ETAPP!A$1:A$32,0))&amp;INDEX([1]ETAPP!B$1:B$32,MATCH(COUNTIF(BI44:BR44,4),[1]ETAPP!A$1:A$32,0))&amp;INDEX([1]ETAPP!B$1:B$32,MATCH(COUNTIF(BI44:BR44,5),[1]ETAPP!A$1:A$32,0))&amp;INDEX([1]ETAPP!B$1:B$32,MATCH(COUNTIF(BI44:BR44,6),[1]ETAPP!A$1:A$32,0))&amp;INDEX([1]ETAPP!B$1:B$32,MATCH(COUNTIF(BI44:BR44,7),[1]ETAPP!A$1:A$32,0))&amp;INDEX([1]ETAPP!B$1:B$32,MATCH(COUNTIF(BI44:BR44,8),[1]ETAPP!A$1:A$32,0))&amp;INDEX([1]ETAPP!B$1:B$32,MATCH(COUNTIF(BI44:BR44,9),[1]ETAPP!A$1:A$32,0))&amp;INDEX([1]ETAPP!B$1:B$32,MATCH(COUNTIF(BI44:BR44,10),[1]ETAPP!A$1:A$32,0))&amp;INDEX([1]ETAPP!B$1:B$32,MATCH(COUNTIF(BI44:BR44,11),[1]ETAPP!A$1:A$32,0))&amp;INDEX([1]ETAPP!B$1:B$32,MATCH(COUNTIF(BI44:BR44,12),[1]ETAPP!A$1:A$32,0))&amp;INDEX([1]ETAPP!B$1:B$32,MATCH(COUNTIF(BI44:BR44,13),[1]ETAPP!A$1:A$32,0))&amp;INDEX([1]ETAPP!B$1:B$32,MATCH(COUNTIF(BI44:BR44,14),[1]ETAPP!A$1:A$32,0))&amp;INDEX([1]ETAPP!B$1:B$32,MATCH(COUNTIF(BI44:BR44,15),[1]ETAPP!A$1:A$32,0))&amp;INDEX([1]ETAPP!B$1:B$32,MATCH(COUNTIF(BI44:BR44,16),[1]ETAPP!A$1:A$32,0))&amp;INDEX([1]ETAPP!B$1:B$32,MATCH(COUNTIF(BI44:BR44,17),[1]ETAPP!A$1:A$32,0))&amp;INDEX([1]ETAPP!B$1:B$32,MATCH(COUNTIF(BI44:BR44,18),[1]ETAPP!A$1:A$32,0))&amp;INDEX([1]ETAPP!B$1:B$32,MATCH(COUNTIF(BI44:BR44,19),[1]ETAPP!A$1:A$32,0))&amp;INDEX([1]ETAPP!B$1:B$32,MATCH(COUNTIF(BI44:BR44,20),[1]ETAPP!A$1:A$32,0))&amp;INDEX([1]ETAPP!B$1:B$32,MATCH(COUNTIF(BI44:BR44,21),[1]ETAPP!A$1:A$32,0))</f>
        <v>0000A0000000000000000</v>
      </c>
      <c r="T44" s="561" t="str">
        <f t="shared" si="56"/>
        <v>024,0-0000A0000000000000000</v>
      </c>
      <c r="U44" s="561">
        <f t="shared" si="57"/>
        <v>39</v>
      </c>
      <c r="V44" s="561">
        <f t="shared" si="58"/>
        <v>113</v>
      </c>
      <c r="W44" s="561" t="str">
        <f t="shared" si="59"/>
        <v>024,0-0000A0000000000000000-113</v>
      </c>
      <c r="X44" s="561">
        <f t="shared" si="60"/>
        <v>38</v>
      </c>
      <c r="Y44" s="562">
        <f t="shared" si="61"/>
        <v>77</v>
      </c>
      <c r="Z44" s="563" t="str">
        <f>IFERROR(INDEX('V1'!C$300:C$400,MATCH("*"&amp;L44&amp;"*",'V1'!B$300:B$400,0)),"  ")</f>
        <v xml:space="preserve">  </v>
      </c>
      <c r="AA44" s="563" t="str">
        <f>IFERROR(INDEX('V2'!C$300:C$400,MATCH("*"&amp;L44&amp;"*",'V2'!B$300:B$400,0)),"  ")</f>
        <v xml:space="preserve">  </v>
      </c>
      <c r="AB44" s="563" t="str">
        <f>IFERROR(INDEX('V3'!C$300:C$400,MATCH("*"&amp;L44&amp;"*",'V3'!B$300:B$400,0)),"  ")</f>
        <v xml:space="preserve">  </v>
      </c>
      <c r="AC44" s="563" t="str">
        <f>IFERROR(INDEX('V4'!C$300:C$400,MATCH("*"&amp;L44&amp;"*",'V4'!B$300:B$400,0)),"  ")</f>
        <v xml:space="preserve">  </v>
      </c>
      <c r="AD44" s="563" t="str">
        <f>IFERROR(INDEX('V5'!C$300:C$400,MATCH("*"&amp;L44&amp;"*",'V5'!B$300:B$400,0)),"  ")</f>
        <v xml:space="preserve">  </v>
      </c>
      <c r="AE44" s="563">
        <f>IFERROR(INDEX('V6'!C$300:C$400,MATCH("*"&amp;L44&amp;"*",'V6'!B$300:B$400,0)),"  ")</f>
        <v>24</v>
      </c>
      <c r="AF44" s="563" t="str">
        <f>IFERROR(INDEX('V7'!C$300:C$400,MATCH("*"&amp;L44&amp;"*",'V7'!B$300:B$400,0)),"  ")</f>
        <v xml:space="preserve">  </v>
      </c>
      <c r="AG44" s="563" t="str">
        <f>IFERROR(INDEX('V8'!C$300:C$400,MATCH("*"&amp;L44&amp;"*",'V8'!B$300:B$400,0)),"  ")</f>
        <v xml:space="preserve">  </v>
      </c>
      <c r="AH44" s="563" t="str">
        <f>IFERROR(INDEX('V9'!C$300:C$400,MATCH("*"&amp;L44&amp;"*",'V9'!B$300:B$400,0)),"  ")</f>
        <v xml:space="preserve">  </v>
      </c>
      <c r="AI44" s="563" t="str">
        <f>IFERROR(INDEX('V10'!C$300:C$400,MATCH("*"&amp;L44&amp;"*",'V10'!B$300:B$400,0)),"  ")</f>
        <v xml:space="preserve">  </v>
      </c>
      <c r="AJ44" s="564" t="str">
        <f t="shared" si="62"/>
        <v/>
      </c>
      <c r="AK44" s="565">
        <f t="shared" si="63"/>
        <v>24</v>
      </c>
      <c r="AL44" s="566">
        <f t="shared" si="64"/>
        <v>38</v>
      </c>
      <c r="AM44" s="567" t="str">
        <f>IFERROR(INDEX(#REF!,MATCH("*"&amp;L44&amp;"*",#REF!,0)),"  ")</f>
        <v xml:space="preserve">  </v>
      </c>
      <c r="AN44" s="568">
        <f t="shared" si="65"/>
        <v>1</v>
      </c>
      <c r="AO44" s="469">
        <f t="shared" si="66"/>
        <v>0</v>
      </c>
      <c r="AP44" s="469">
        <f t="shared" si="67"/>
        <v>0</v>
      </c>
      <c r="AQ44" s="569"/>
      <c r="AR44" s="569"/>
      <c r="AS44" s="569"/>
      <c r="AT44" s="570">
        <f t="shared" si="68"/>
        <v>1E-4</v>
      </c>
      <c r="AU44" s="571">
        <f t="shared" si="69"/>
        <v>1E-4</v>
      </c>
      <c r="AV44" s="571">
        <f t="shared" si="70"/>
        <v>2.0000000000000001E-4</v>
      </c>
      <c r="AW44" s="571">
        <f t="shared" si="71"/>
        <v>2.9999999999999997E-4</v>
      </c>
      <c r="AX44" s="571">
        <f t="shared" si="72"/>
        <v>4.0000000000000002E-4</v>
      </c>
      <c r="AY44" s="571">
        <f t="shared" si="73"/>
        <v>5.0000000000000001E-4</v>
      </c>
      <c r="AZ44" s="571">
        <f t="shared" si="74"/>
        <v>24.000599999999999</v>
      </c>
      <c r="BA44" s="571">
        <f t="shared" si="75"/>
        <v>6.9999999999999999E-4</v>
      </c>
      <c r="BB44" s="571">
        <f t="shared" si="76"/>
        <v>8.0000000000000004E-4</v>
      </c>
      <c r="BC44" s="571">
        <f t="shared" si="77"/>
        <v>8.9999999999999998E-4</v>
      </c>
      <c r="BD44" s="571">
        <f t="shared" si="78"/>
        <v>1E-3</v>
      </c>
      <c r="BE44" s="569"/>
      <c r="BF44" s="569"/>
      <c r="BG44" s="569"/>
      <c r="BH44" s="569"/>
      <c r="BI44" s="377" t="e">
        <f t="shared" si="79"/>
        <v>#VALUE!</v>
      </c>
      <c r="BJ44" s="377" t="e">
        <f t="shared" si="80"/>
        <v>#VALUE!</v>
      </c>
      <c r="BK44" s="377" t="e">
        <f t="shared" si="81"/>
        <v>#VALUE!</v>
      </c>
      <c r="BL44" s="377" t="e">
        <f t="shared" si="82"/>
        <v>#VALUE!</v>
      </c>
      <c r="BM44" s="377" t="e">
        <f t="shared" si="83"/>
        <v>#VALUE!</v>
      </c>
      <c r="BN44" s="377">
        <f t="shared" si="84"/>
        <v>5</v>
      </c>
      <c r="BO44" s="377" t="e">
        <f t="shared" si="85"/>
        <v>#VALUE!</v>
      </c>
      <c r="BP44" s="377" t="e">
        <f t="shared" si="86"/>
        <v>#VALUE!</v>
      </c>
      <c r="BQ44" s="377" t="e">
        <f t="shared" si="87"/>
        <v>#VALUE!</v>
      </c>
      <c r="BR44" s="377" t="e">
        <f t="shared" si="88"/>
        <v>#VALUE!</v>
      </c>
    </row>
    <row r="45" spans="1:70" ht="12.75" customHeight="1" x14ac:dyDescent="0.2">
      <c r="A45" s="484">
        <f t="shared" si="45"/>
        <v>29</v>
      </c>
      <c r="B45" s="485">
        <f t="shared" si="46"/>
        <v>39</v>
      </c>
      <c r="C45" s="486">
        <f t="shared" si="47"/>
        <v>16</v>
      </c>
      <c r="D45" s="487">
        <f t="shared" si="48"/>
        <v>39</v>
      </c>
      <c r="E45" s="488">
        <f t="shared" si="49"/>
        <v>31</v>
      </c>
      <c r="F45" s="489">
        <f t="shared" si="50"/>
        <v>39</v>
      </c>
      <c r="G45" s="490" t="str">
        <f t="shared" si="51"/>
        <v/>
      </c>
      <c r="H45" s="489">
        <f t="shared" si="52"/>
        <v>-961</v>
      </c>
      <c r="I45" s="491" t="str">
        <f t="shared" si="53"/>
        <v/>
      </c>
      <c r="J45" s="554">
        <f t="shared" si="54"/>
        <v>-961</v>
      </c>
      <c r="K45" s="526">
        <f t="shared" si="55"/>
        <v>38</v>
      </c>
      <c r="L45" s="585" t="s">
        <v>225</v>
      </c>
      <c r="M45" s="556"/>
      <c r="N45" s="557" t="str">
        <f>IF(M45="","m","")</f>
        <v>m</v>
      </c>
      <c r="O45" s="558"/>
      <c r="P45" s="559" t="s">
        <v>269</v>
      </c>
      <c r="Q45" s="560" t="s">
        <v>148</v>
      </c>
      <c r="R45" s="539">
        <f>(IF(COUNT(Z45,AA45,AB45,AC45,AD45,AE45,AF45,AG45,AH45,AI45)&lt;10,SUM(Z45,AA45,AB45,AC45,AD45,AE45,AF45,AG45,AH45,AI45),SUM(LARGE((Z45,AA45,AB45,AC45,AD45,AE45,AF45,AG45,AH45,AI45),{1;2;3;4;5;6;7;8;9}))))</f>
        <v>24</v>
      </c>
      <c r="S45" s="561" t="str">
        <f>INDEX([1]ETAPP!B$1:B$32,MATCH(COUNTIF(BI45:BR45,1),[1]ETAPP!A$1:A$32,0))&amp;INDEX([1]ETAPP!B$1:B$32,MATCH(COUNTIF(BI45:BR45,2),[1]ETAPP!A$1:A$32,0))&amp;INDEX([1]ETAPP!B$1:B$32,MATCH(COUNTIF(BI45:BR45,3),[1]ETAPP!A$1:A$32,0))&amp;INDEX([1]ETAPP!B$1:B$32,MATCH(COUNTIF(BI45:BR45,4),[1]ETAPP!A$1:A$32,0))&amp;INDEX([1]ETAPP!B$1:B$32,MATCH(COUNTIF(BI45:BR45,5),[1]ETAPP!A$1:A$32,0))&amp;INDEX([1]ETAPP!B$1:B$32,MATCH(COUNTIF(BI45:BR45,6),[1]ETAPP!A$1:A$32,0))&amp;INDEX([1]ETAPP!B$1:B$32,MATCH(COUNTIF(BI45:BR45,7),[1]ETAPP!A$1:A$32,0))&amp;INDEX([1]ETAPP!B$1:B$32,MATCH(COUNTIF(BI45:BR45,8),[1]ETAPP!A$1:A$32,0))&amp;INDEX([1]ETAPP!B$1:B$32,MATCH(COUNTIF(BI45:BR45,9),[1]ETAPP!A$1:A$32,0))&amp;INDEX([1]ETAPP!B$1:B$32,MATCH(COUNTIF(BI45:BR45,10),[1]ETAPP!A$1:A$32,0))&amp;INDEX([1]ETAPP!B$1:B$32,MATCH(COUNTIF(BI45:BR45,11),[1]ETAPP!A$1:A$32,0))&amp;INDEX([1]ETAPP!B$1:B$32,MATCH(COUNTIF(BI45:BR45,12),[1]ETAPP!A$1:A$32,0))&amp;INDEX([1]ETAPP!B$1:B$32,MATCH(COUNTIF(BI45:BR45,13),[1]ETAPP!A$1:A$32,0))&amp;INDEX([1]ETAPP!B$1:B$32,MATCH(COUNTIF(BI45:BR45,14),[1]ETAPP!A$1:A$32,0))&amp;INDEX([1]ETAPP!B$1:B$32,MATCH(COUNTIF(BI45:BR45,15),[1]ETAPP!A$1:A$32,0))&amp;INDEX([1]ETAPP!B$1:B$32,MATCH(COUNTIF(BI45:BR45,16),[1]ETAPP!A$1:A$32,0))&amp;INDEX([1]ETAPP!B$1:B$32,MATCH(COUNTIF(BI45:BR45,17),[1]ETAPP!A$1:A$32,0))&amp;INDEX([1]ETAPP!B$1:B$32,MATCH(COUNTIF(BI45:BR45,18),[1]ETAPP!A$1:A$32,0))&amp;INDEX([1]ETAPP!B$1:B$32,MATCH(COUNTIF(BI45:BR45,19),[1]ETAPP!A$1:A$32,0))&amp;INDEX([1]ETAPP!B$1:B$32,MATCH(COUNTIF(BI45:BR45,20),[1]ETAPP!A$1:A$32,0))&amp;INDEX([1]ETAPP!B$1:B$32,MATCH(COUNTIF(BI45:BR45,21),[1]ETAPP!A$1:A$32,0))</f>
        <v>0000A0000000000000000</v>
      </c>
      <c r="T45" s="561" t="str">
        <f t="shared" si="56"/>
        <v>024,0-0000A0000000000000000</v>
      </c>
      <c r="U45" s="561">
        <f t="shared" si="57"/>
        <v>39</v>
      </c>
      <c r="V45" s="561">
        <f t="shared" si="58"/>
        <v>70</v>
      </c>
      <c r="W45" s="561" t="str">
        <f t="shared" si="59"/>
        <v>024,0-0000A0000000000000000-070</v>
      </c>
      <c r="X45" s="561">
        <f t="shared" si="60"/>
        <v>39</v>
      </c>
      <c r="Y45" s="562">
        <f t="shared" si="61"/>
        <v>76</v>
      </c>
      <c r="Z45" s="563" t="str">
        <f>IFERROR(INDEX('V1'!C$300:C$400,MATCH("*"&amp;L45&amp;"*",'V1'!B$300:B$400,0)),"  ")</f>
        <v xml:space="preserve">  </v>
      </c>
      <c r="AA45" s="563" t="str">
        <f>IFERROR(INDEX('V2'!C$300:C$400,MATCH("*"&amp;L45&amp;"*",'V2'!B$300:B$400,0)),"  ")</f>
        <v xml:space="preserve">  </v>
      </c>
      <c r="AB45" s="563" t="str">
        <f>IFERROR(INDEX('V3'!C$300:C$400,MATCH("*"&amp;L45&amp;"*",'V3'!B$300:B$400,0)),"  ")</f>
        <v xml:space="preserve">  </v>
      </c>
      <c r="AC45" s="563" t="str">
        <f>IFERROR(INDEX('V4'!C$300:C$400,MATCH("*"&amp;L45&amp;"*",'V4'!B$300:B$400,0)),"  ")</f>
        <v xml:space="preserve">  </v>
      </c>
      <c r="AD45" s="563" t="str">
        <f>IFERROR(INDEX('V5'!C$300:C$400,MATCH("*"&amp;L45&amp;"*",'V5'!B$300:B$400,0)),"  ")</f>
        <v xml:space="preserve">  </v>
      </c>
      <c r="AE45" s="563">
        <f>IFERROR(INDEX('V6'!C$300:C$400,MATCH("*"&amp;L45&amp;"*",'V6'!B$300:B$400,0)),"  ")</f>
        <v>24</v>
      </c>
      <c r="AF45" s="563" t="str">
        <f>IFERROR(INDEX('V7'!C$300:C$400,MATCH("*"&amp;L45&amp;"*",'V7'!B$300:B$400,0)),"  ")</f>
        <v xml:space="preserve">  </v>
      </c>
      <c r="AG45" s="563" t="str">
        <f>IFERROR(INDEX('V8'!C$300:C$400,MATCH("*"&amp;L45&amp;"*",'V8'!B$300:B$400,0)),"  ")</f>
        <v xml:space="preserve">  </v>
      </c>
      <c r="AH45" s="563" t="str">
        <f>IFERROR(INDEX('V9'!C$300:C$400,MATCH("*"&amp;L45&amp;"*",'V9'!B$300:B$400,0)),"  ")</f>
        <v xml:space="preserve">  </v>
      </c>
      <c r="AI45" s="563" t="str">
        <f>IFERROR(INDEX('V10'!C$300:C$400,MATCH("*"&amp;L45&amp;"*",'V10'!B$300:B$400,0)),"  ")</f>
        <v xml:space="preserve">  </v>
      </c>
      <c r="AJ45" s="564" t="str">
        <f t="shared" si="62"/>
        <v/>
      </c>
      <c r="AK45" s="565">
        <f t="shared" si="63"/>
        <v>24</v>
      </c>
      <c r="AL45" s="566">
        <f t="shared" si="64"/>
        <v>38</v>
      </c>
      <c r="AM45" s="567" t="str">
        <f>IFERROR(INDEX(#REF!,MATCH("*"&amp;L45&amp;"*",#REF!,0)),"  ")</f>
        <v xml:space="preserve">  </v>
      </c>
      <c r="AN45" s="568">
        <f t="shared" si="65"/>
        <v>1</v>
      </c>
      <c r="AO45" s="469">
        <f t="shared" si="66"/>
        <v>0</v>
      </c>
      <c r="AP45" s="469">
        <f t="shared" si="67"/>
        <v>0</v>
      </c>
      <c r="AQ45" s="569"/>
      <c r="AR45" s="569"/>
      <c r="AS45" s="569"/>
      <c r="AT45" s="570">
        <f t="shared" si="68"/>
        <v>1E-4</v>
      </c>
      <c r="AU45" s="571">
        <f t="shared" si="69"/>
        <v>1E-4</v>
      </c>
      <c r="AV45" s="571">
        <f t="shared" si="70"/>
        <v>2.0000000000000001E-4</v>
      </c>
      <c r="AW45" s="571">
        <f t="shared" si="71"/>
        <v>2.9999999999999997E-4</v>
      </c>
      <c r="AX45" s="571">
        <f t="shared" si="72"/>
        <v>4.0000000000000002E-4</v>
      </c>
      <c r="AY45" s="571">
        <f t="shared" si="73"/>
        <v>5.0000000000000001E-4</v>
      </c>
      <c r="AZ45" s="571">
        <f t="shared" si="74"/>
        <v>24.000599999999999</v>
      </c>
      <c r="BA45" s="571">
        <f t="shared" si="75"/>
        <v>6.9999999999999999E-4</v>
      </c>
      <c r="BB45" s="571">
        <f t="shared" si="76"/>
        <v>8.0000000000000004E-4</v>
      </c>
      <c r="BC45" s="571">
        <f t="shared" si="77"/>
        <v>8.9999999999999998E-4</v>
      </c>
      <c r="BD45" s="571">
        <f t="shared" si="78"/>
        <v>1E-3</v>
      </c>
      <c r="BE45" s="569"/>
      <c r="BF45" s="569"/>
      <c r="BG45" s="569"/>
      <c r="BH45" s="569"/>
      <c r="BI45" s="377" t="e">
        <f t="shared" si="79"/>
        <v>#VALUE!</v>
      </c>
      <c r="BJ45" s="377" t="e">
        <f t="shared" si="80"/>
        <v>#VALUE!</v>
      </c>
      <c r="BK45" s="377" t="e">
        <f t="shared" si="81"/>
        <v>#VALUE!</v>
      </c>
      <c r="BL45" s="377" t="e">
        <f t="shared" si="82"/>
        <v>#VALUE!</v>
      </c>
      <c r="BM45" s="377" t="e">
        <f t="shared" si="83"/>
        <v>#VALUE!</v>
      </c>
      <c r="BN45" s="377">
        <f t="shared" si="84"/>
        <v>5</v>
      </c>
      <c r="BO45" s="377" t="e">
        <f t="shared" si="85"/>
        <v>#VALUE!</v>
      </c>
      <c r="BP45" s="377" t="e">
        <f t="shared" si="86"/>
        <v>#VALUE!</v>
      </c>
      <c r="BQ45" s="377" t="e">
        <f t="shared" si="87"/>
        <v>#VALUE!</v>
      </c>
      <c r="BR45" s="377" t="e">
        <f t="shared" si="88"/>
        <v>#VALUE!</v>
      </c>
    </row>
    <row r="46" spans="1:70" ht="12.75" customHeight="1" x14ac:dyDescent="0.2">
      <c r="A46" s="484" t="str">
        <f t="shared" si="45"/>
        <v/>
      </c>
      <c r="B46" s="485">
        <f t="shared" si="46"/>
        <v>-960</v>
      </c>
      <c r="C46" s="486" t="str">
        <f t="shared" si="47"/>
        <v/>
      </c>
      <c r="D46" s="487">
        <f t="shared" si="48"/>
        <v>-960</v>
      </c>
      <c r="E46" s="488">
        <f t="shared" si="49"/>
        <v>32</v>
      </c>
      <c r="F46" s="489">
        <f t="shared" si="50"/>
        <v>40</v>
      </c>
      <c r="G46" s="490" t="str">
        <f t="shared" si="51"/>
        <v/>
      </c>
      <c r="H46" s="489">
        <f t="shared" si="52"/>
        <v>-960</v>
      </c>
      <c r="I46" s="491" t="str">
        <f t="shared" si="53"/>
        <v/>
      </c>
      <c r="J46" s="554">
        <f t="shared" si="54"/>
        <v>-960</v>
      </c>
      <c r="K46" s="526">
        <f t="shared" si="55"/>
        <v>40</v>
      </c>
      <c r="L46" s="573" t="s">
        <v>217</v>
      </c>
      <c r="M46" s="556"/>
      <c r="N46" s="557" t="s">
        <v>168</v>
      </c>
      <c r="O46" s="558"/>
      <c r="P46" s="559"/>
      <c r="Q46" s="560"/>
      <c r="R46" s="539">
        <f>(IF(COUNT(Z46,AA46,AB46,AC46,AD46,AE46,AF46,AG46,AH46,AI46)&lt;10,SUM(Z46,AA46,AB46,AC46,AD46,AE46,AF46,AG46,AH46,AI46),SUM(LARGE((Z46,AA46,AB46,AC46,AD46,AE46,AF46,AG46,AH46,AI46),{1;2;3;4;5;6;7;8;9}))))</f>
        <v>22</v>
      </c>
      <c r="S46" s="561" t="str">
        <f>INDEX([1]ETAPP!B$1:B$32,MATCH(COUNTIF(BI46:BR46,1),[1]ETAPP!A$1:A$32,0))&amp;INDEX([1]ETAPP!B$1:B$32,MATCH(COUNTIF(BI46:BR46,2),[1]ETAPP!A$1:A$32,0))&amp;INDEX([1]ETAPP!B$1:B$32,MATCH(COUNTIF(BI46:BR46,3),[1]ETAPP!A$1:A$32,0))&amp;INDEX([1]ETAPP!B$1:B$32,MATCH(COUNTIF(BI46:BR46,4),[1]ETAPP!A$1:A$32,0))&amp;INDEX([1]ETAPP!B$1:B$32,MATCH(COUNTIF(BI46:BR46,5),[1]ETAPP!A$1:A$32,0))&amp;INDEX([1]ETAPP!B$1:B$32,MATCH(COUNTIF(BI46:BR46,6),[1]ETAPP!A$1:A$32,0))&amp;INDEX([1]ETAPP!B$1:B$32,MATCH(COUNTIF(BI46:BR46,7),[1]ETAPP!A$1:A$32,0))&amp;INDEX([1]ETAPP!B$1:B$32,MATCH(COUNTIF(BI46:BR46,8),[1]ETAPP!A$1:A$32,0))&amp;INDEX([1]ETAPP!B$1:B$32,MATCH(COUNTIF(BI46:BR46,9),[1]ETAPP!A$1:A$32,0))&amp;INDEX([1]ETAPP!B$1:B$32,MATCH(COUNTIF(BI46:BR46,10),[1]ETAPP!A$1:A$32,0))&amp;INDEX([1]ETAPP!B$1:B$32,MATCH(COUNTIF(BI46:BR46,11),[1]ETAPP!A$1:A$32,0))&amp;INDEX([1]ETAPP!B$1:B$32,MATCH(COUNTIF(BI46:BR46,12),[1]ETAPP!A$1:A$32,0))&amp;INDEX([1]ETAPP!B$1:B$32,MATCH(COUNTIF(BI46:BR46,13),[1]ETAPP!A$1:A$32,0))&amp;INDEX([1]ETAPP!B$1:B$32,MATCH(COUNTIF(BI46:BR46,14),[1]ETAPP!A$1:A$32,0))&amp;INDEX([1]ETAPP!B$1:B$32,MATCH(COUNTIF(BI46:BR46,15),[1]ETAPP!A$1:A$32,0))&amp;INDEX([1]ETAPP!B$1:B$32,MATCH(COUNTIF(BI46:BR46,16),[1]ETAPP!A$1:A$32,0))&amp;INDEX([1]ETAPP!B$1:B$32,MATCH(COUNTIF(BI46:BR46,17),[1]ETAPP!A$1:A$32,0))&amp;INDEX([1]ETAPP!B$1:B$32,MATCH(COUNTIF(BI46:BR46,18),[1]ETAPP!A$1:A$32,0))&amp;INDEX([1]ETAPP!B$1:B$32,MATCH(COUNTIF(BI46:BR46,19),[1]ETAPP!A$1:A$32,0))&amp;INDEX([1]ETAPP!B$1:B$32,MATCH(COUNTIF(BI46:BR46,20),[1]ETAPP!A$1:A$32,0))&amp;INDEX([1]ETAPP!B$1:B$32,MATCH(COUNTIF(BI46:BR46,21),[1]ETAPP!A$1:A$32,0))</f>
        <v>0000000A0000000000000</v>
      </c>
      <c r="T46" s="561" t="str">
        <f t="shared" si="56"/>
        <v>022,0-0000000A0000000000000</v>
      </c>
      <c r="U46" s="561">
        <f t="shared" si="57"/>
        <v>40</v>
      </c>
      <c r="V46" s="561">
        <f t="shared" si="58"/>
        <v>90</v>
      </c>
      <c r="W46" s="561" t="str">
        <f t="shared" si="59"/>
        <v>022,0-0000000A0000000000000-090</v>
      </c>
      <c r="X46" s="561">
        <f t="shared" si="60"/>
        <v>40</v>
      </c>
      <c r="Y46" s="562">
        <f t="shared" si="61"/>
        <v>75</v>
      </c>
      <c r="Z46" s="563" t="str">
        <f>IFERROR(INDEX('V1'!C$300:C$400,MATCH("*"&amp;L46&amp;"*",'V1'!B$300:B$400,0)),"  ")</f>
        <v xml:space="preserve">  </v>
      </c>
      <c r="AA46" s="563" t="str">
        <f>IFERROR(INDEX('V2'!C$300:C$400,MATCH("*"&amp;L46&amp;"*",'V2'!B$300:B$400,0)),"  ")</f>
        <v xml:space="preserve">  </v>
      </c>
      <c r="AB46" s="563" t="str">
        <f>IFERROR(INDEX('V3'!C$300:C$400,MATCH("*"&amp;L46&amp;"*",'V3'!B$300:B$400,0)),"  ")</f>
        <v xml:space="preserve">  </v>
      </c>
      <c r="AC46" s="563" t="str">
        <f>IFERROR(INDEX('V4'!C$300:C$400,MATCH("*"&amp;L46&amp;"*",'V4'!B$300:B$400,0)),"  ")</f>
        <v xml:space="preserve">  </v>
      </c>
      <c r="AD46" s="563">
        <f>IFERROR(INDEX('V5'!C$300:C$400,MATCH("*"&amp;L46&amp;"*",'V5'!B$300:B$400,0)),"  ")</f>
        <v>22</v>
      </c>
      <c r="AE46" s="563" t="str">
        <f>IFERROR(INDEX('V6'!C$300:C$400,MATCH("*"&amp;L46&amp;"*",'V6'!B$300:B$400,0)),"  ")</f>
        <v xml:space="preserve">  </v>
      </c>
      <c r="AF46" s="563" t="str">
        <f>IFERROR(INDEX('V7'!C$300:C$400,MATCH("*"&amp;L46&amp;"*",'V7'!B$300:B$400,0)),"  ")</f>
        <v xml:space="preserve">  </v>
      </c>
      <c r="AG46" s="563" t="str">
        <f>IFERROR(INDEX('V8'!C$300:C$400,MATCH("*"&amp;L46&amp;"*",'V8'!B$300:B$400,0)),"  ")</f>
        <v xml:space="preserve">  </v>
      </c>
      <c r="AH46" s="563" t="str">
        <f>IFERROR(INDEX('V9'!C$300:C$400,MATCH("*"&amp;L46&amp;"*",'V9'!B$300:B$400,0)),"  ")</f>
        <v xml:space="preserve">  </v>
      </c>
      <c r="AI46" s="563" t="str">
        <f>IFERROR(INDEX('V10'!C$300:C$400,MATCH("*"&amp;L46&amp;"*",'V10'!B$300:B$400,0)),"  ")</f>
        <v xml:space="preserve">  </v>
      </c>
      <c r="AJ46" s="564" t="str">
        <f t="shared" si="62"/>
        <v/>
      </c>
      <c r="AK46" s="565">
        <f t="shared" si="63"/>
        <v>22</v>
      </c>
      <c r="AL46" s="566">
        <f t="shared" si="64"/>
        <v>40</v>
      </c>
      <c r="AM46" s="567" t="str">
        <f>IFERROR(INDEX(#REF!,MATCH("*"&amp;L46&amp;"*",#REF!,0)),"  ")</f>
        <v xml:space="preserve">  </v>
      </c>
      <c r="AN46" s="568">
        <f t="shared" si="65"/>
        <v>1</v>
      </c>
      <c r="AO46" s="469">
        <f t="shared" si="66"/>
        <v>0</v>
      </c>
      <c r="AP46" s="469">
        <f t="shared" si="67"/>
        <v>0</v>
      </c>
      <c r="AQ46" s="569"/>
      <c r="AR46" s="569"/>
      <c r="AS46" s="569"/>
      <c r="AT46" s="570">
        <f t="shared" si="68"/>
        <v>1E-4</v>
      </c>
      <c r="AU46" s="571">
        <f t="shared" si="69"/>
        <v>1E-4</v>
      </c>
      <c r="AV46" s="571">
        <f t="shared" si="70"/>
        <v>2.0000000000000001E-4</v>
      </c>
      <c r="AW46" s="571">
        <f t="shared" si="71"/>
        <v>2.9999999999999997E-4</v>
      </c>
      <c r="AX46" s="571">
        <f t="shared" si="72"/>
        <v>4.0000000000000002E-4</v>
      </c>
      <c r="AY46" s="571">
        <f t="shared" si="73"/>
        <v>22.000499999999999</v>
      </c>
      <c r="AZ46" s="571">
        <f t="shared" si="74"/>
        <v>5.9999999999999995E-4</v>
      </c>
      <c r="BA46" s="571">
        <f t="shared" si="75"/>
        <v>6.9999999999999999E-4</v>
      </c>
      <c r="BB46" s="571">
        <f t="shared" si="76"/>
        <v>8.0000000000000004E-4</v>
      </c>
      <c r="BC46" s="571">
        <f t="shared" si="77"/>
        <v>8.9999999999999998E-4</v>
      </c>
      <c r="BD46" s="571">
        <f t="shared" si="78"/>
        <v>1E-3</v>
      </c>
      <c r="BE46" s="569"/>
      <c r="BF46" s="569"/>
      <c r="BG46" s="569"/>
      <c r="BH46" s="569"/>
      <c r="BI46" s="377" t="e">
        <f t="shared" si="79"/>
        <v>#VALUE!</v>
      </c>
      <c r="BJ46" s="377" t="e">
        <f t="shared" si="80"/>
        <v>#VALUE!</v>
      </c>
      <c r="BK46" s="377" t="e">
        <f t="shared" si="81"/>
        <v>#VALUE!</v>
      </c>
      <c r="BL46" s="377" t="e">
        <f t="shared" si="82"/>
        <v>#VALUE!</v>
      </c>
      <c r="BM46" s="377">
        <f t="shared" si="83"/>
        <v>8</v>
      </c>
      <c r="BN46" s="377" t="e">
        <f t="shared" si="84"/>
        <v>#VALUE!</v>
      </c>
      <c r="BO46" s="377" t="e">
        <f t="shared" si="85"/>
        <v>#VALUE!</v>
      </c>
      <c r="BP46" s="377" t="e">
        <f t="shared" si="86"/>
        <v>#VALUE!</v>
      </c>
      <c r="BQ46" s="377" t="e">
        <f t="shared" si="87"/>
        <v>#VALUE!</v>
      </c>
      <c r="BR46" s="377" t="e">
        <f t="shared" si="88"/>
        <v>#VALUE!</v>
      </c>
    </row>
    <row r="47" spans="1:70" ht="12.75" customHeight="1" x14ac:dyDescent="0.2">
      <c r="A47" s="484" t="str">
        <f t="shared" si="45"/>
        <v/>
      </c>
      <c r="B47" s="485">
        <f t="shared" si="46"/>
        <v>-959</v>
      </c>
      <c r="C47" s="486" t="str">
        <f t="shared" si="47"/>
        <v/>
      </c>
      <c r="D47" s="487">
        <f t="shared" si="48"/>
        <v>-959</v>
      </c>
      <c r="E47" s="488">
        <f t="shared" si="49"/>
        <v>33</v>
      </c>
      <c r="F47" s="489">
        <f t="shared" si="50"/>
        <v>41</v>
      </c>
      <c r="G47" s="490" t="str">
        <f t="shared" si="51"/>
        <v/>
      </c>
      <c r="H47" s="489">
        <f t="shared" si="52"/>
        <v>-959</v>
      </c>
      <c r="I47" s="491" t="str">
        <f t="shared" si="53"/>
        <v/>
      </c>
      <c r="J47" s="554">
        <f t="shared" si="54"/>
        <v>-959</v>
      </c>
      <c r="K47" s="526">
        <f t="shared" si="55"/>
        <v>41</v>
      </c>
      <c r="L47" s="585" t="s">
        <v>192</v>
      </c>
      <c r="M47" s="556"/>
      <c r="N47" s="557" t="str">
        <f>IF(M47="","m","")</f>
        <v>m</v>
      </c>
      <c r="O47" s="558"/>
      <c r="P47" s="559"/>
      <c r="Q47" s="560" t="s">
        <v>270</v>
      </c>
      <c r="R47" s="539">
        <f>(IF(COUNT(Z47,AA47,AB47,AC47,AD47,AE47,AF47,AG47,AH47,AI47)&lt;10,SUM(Z47,AA47,AB47,AC47,AD47,AE47,AF47,AG47,AH47,AI47),SUM(LARGE((Z47,AA47,AB47,AC47,AD47,AE47,AF47,AG47,AH47,AI47),{1;2;3;4;5;6;7;8;9}))))</f>
        <v>22</v>
      </c>
      <c r="S47" s="561" t="str">
        <f>INDEX([1]ETAPP!B$1:B$32,MATCH(COUNTIF(BI47:BR47,1),[1]ETAPP!A$1:A$32,0))&amp;INDEX([1]ETAPP!B$1:B$32,MATCH(COUNTIF(BI47:BR47,2),[1]ETAPP!A$1:A$32,0))&amp;INDEX([1]ETAPP!B$1:B$32,MATCH(COUNTIF(BI47:BR47,3),[1]ETAPP!A$1:A$32,0))&amp;INDEX([1]ETAPP!B$1:B$32,MATCH(COUNTIF(BI47:BR47,4),[1]ETAPP!A$1:A$32,0))&amp;INDEX([1]ETAPP!B$1:B$32,MATCH(COUNTIF(BI47:BR47,5),[1]ETAPP!A$1:A$32,0))&amp;INDEX([1]ETAPP!B$1:B$32,MATCH(COUNTIF(BI47:BR47,6),[1]ETAPP!A$1:A$32,0))&amp;INDEX([1]ETAPP!B$1:B$32,MATCH(COUNTIF(BI47:BR47,7),[1]ETAPP!A$1:A$32,0))&amp;INDEX([1]ETAPP!B$1:B$32,MATCH(COUNTIF(BI47:BR47,8),[1]ETAPP!A$1:A$32,0))&amp;INDEX([1]ETAPP!B$1:B$32,MATCH(COUNTIF(BI47:BR47,9),[1]ETAPP!A$1:A$32,0))&amp;INDEX([1]ETAPP!B$1:B$32,MATCH(COUNTIF(BI47:BR47,10),[1]ETAPP!A$1:A$32,0))&amp;INDEX([1]ETAPP!B$1:B$32,MATCH(COUNTIF(BI47:BR47,11),[1]ETAPP!A$1:A$32,0))&amp;INDEX([1]ETAPP!B$1:B$32,MATCH(COUNTIF(BI47:BR47,12),[1]ETAPP!A$1:A$32,0))&amp;INDEX([1]ETAPP!B$1:B$32,MATCH(COUNTIF(BI47:BR47,13),[1]ETAPP!A$1:A$32,0))&amp;INDEX([1]ETAPP!B$1:B$32,MATCH(COUNTIF(BI47:BR47,14),[1]ETAPP!A$1:A$32,0))&amp;INDEX([1]ETAPP!B$1:B$32,MATCH(COUNTIF(BI47:BR47,15),[1]ETAPP!A$1:A$32,0))&amp;INDEX([1]ETAPP!B$1:B$32,MATCH(COUNTIF(BI47:BR47,16),[1]ETAPP!A$1:A$32,0))&amp;INDEX([1]ETAPP!B$1:B$32,MATCH(COUNTIF(BI47:BR47,17),[1]ETAPP!A$1:A$32,0))&amp;INDEX([1]ETAPP!B$1:B$32,MATCH(COUNTIF(BI47:BR47,18),[1]ETAPP!A$1:A$32,0))&amp;INDEX([1]ETAPP!B$1:B$32,MATCH(COUNTIF(BI47:BR47,19),[1]ETAPP!A$1:A$32,0))&amp;INDEX([1]ETAPP!B$1:B$32,MATCH(COUNTIF(BI47:BR47,20),[1]ETAPP!A$1:A$32,0))&amp;INDEX([1]ETAPP!B$1:B$32,MATCH(COUNTIF(BI47:BR47,21),[1]ETAPP!A$1:A$32,0))</f>
        <v>00000000A00BAA0000000</v>
      </c>
      <c r="T47" s="561" t="str">
        <f t="shared" si="56"/>
        <v>022,0-00000000A00BAA0000000</v>
      </c>
      <c r="U47" s="561">
        <f t="shared" si="57"/>
        <v>41</v>
      </c>
      <c r="V47" s="561">
        <f t="shared" si="58"/>
        <v>58</v>
      </c>
      <c r="W47" s="561" t="str">
        <f t="shared" si="59"/>
        <v>022,0-00000000A00BAA0000000-058</v>
      </c>
      <c r="X47" s="561">
        <f t="shared" si="60"/>
        <v>41</v>
      </c>
      <c r="Y47" s="562">
        <f t="shared" si="61"/>
        <v>74</v>
      </c>
      <c r="Z47" s="563">
        <f>IFERROR(INDEX('V1'!C$300:C$400,MATCH("*"&amp;L47&amp;"*",'V1'!B$300:B$400,0)),"  ")</f>
        <v>4</v>
      </c>
      <c r="AA47" s="563">
        <f>IFERROR(INDEX('V2'!C$300:C$400,MATCH("*"&amp;L47&amp;"*",'V2'!B$300:B$400,0)),"  ")</f>
        <v>6</v>
      </c>
      <c r="AB47" s="563">
        <f>IFERROR(INDEX('V3'!C$300:C$400,MATCH("*"&amp;L47&amp;"*",'V3'!B$300:B$400,0)),"  ")</f>
        <v>4</v>
      </c>
      <c r="AC47" s="563" t="str">
        <f>IFERROR(INDEX('V4'!C$300:C$400,MATCH("*"&amp;L47&amp;"*",'V4'!B$300:B$400,0)),"  ")</f>
        <v xml:space="preserve">  </v>
      </c>
      <c r="AD47" s="563" t="str">
        <f>IFERROR(INDEX('V5'!C$300:C$400,MATCH("*"&amp;L47&amp;"*",'V5'!B$300:B$400,0)),"  ")</f>
        <v xml:space="preserve">  </v>
      </c>
      <c r="AE47" s="563" t="str">
        <f>IFERROR(INDEX('V6'!C$300:C$400,MATCH("*"&amp;L47&amp;"*",'V6'!B$300:B$400,0)),"  ")</f>
        <v xml:space="preserve">  </v>
      </c>
      <c r="AF47" s="563" t="str">
        <f>IFERROR(INDEX('V7'!C$300:C$400,MATCH("*"&amp;L47&amp;"*",'V7'!B$300:B$400,0)),"  ")</f>
        <v xml:space="preserve">  </v>
      </c>
      <c r="AG47" s="563">
        <f>IFERROR(INDEX('V8'!C$300:C$400,MATCH("*"&amp;L47&amp;"*",'V8'!B$300:B$400,0)),"  ")</f>
        <v>2</v>
      </c>
      <c r="AH47" s="563">
        <f>IFERROR(INDEX('V9'!C$300:C$400,MATCH("*"&amp;L47&amp;"*",'V9'!B$300:B$400,0)),"  ")</f>
        <v>6</v>
      </c>
      <c r="AI47" s="563" t="str">
        <f>IFERROR(INDEX('V10'!C$300:C$400,MATCH("*"&amp;L47&amp;"*",'V10'!B$300:B$400,0)),"  ")</f>
        <v xml:space="preserve">  </v>
      </c>
      <c r="AJ47" s="564">
        <f t="shared" si="62"/>
        <v>41</v>
      </c>
      <c r="AK47" s="565">
        <f t="shared" si="63"/>
        <v>22</v>
      </c>
      <c r="AL47" s="566" t="str">
        <f t="shared" si="64"/>
        <v>edasi 34</v>
      </c>
      <c r="AM47" s="567" t="str">
        <f>IFERROR(INDEX(#REF!,MATCH("*"&amp;L47&amp;"*",#REF!,0)),"  ")</f>
        <v xml:space="preserve">  </v>
      </c>
      <c r="AN47" s="568">
        <f t="shared" si="65"/>
        <v>5</v>
      </c>
      <c r="AO47" s="469">
        <f t="shared" si="66"/>
        <v>0</v>
      </c>
      <c r="AP47" s="469">
        <f t="shared" si="67"/>
        <v>0</v>
      </c>
      <c r="AQ47" s="569"/>
      <c r="AR47" s="569"/>
      <c r="AS47" s="569"/>
      <c r="AT47" s="570">
        <f t="shared" si="68"/>
        <v>4.0000000000000002E-4</v>
      </c>
      <c r="AU47" s="571">
        <f t="shared" si="69"/>
        <v>4.0000999999999998</v>
      </c>
      <c r="AV47" s="571">
        <f t="shared" si="70"/>
        <v>6.0002000000000004</v>
      </c>
      <c r="AW47" s="571">
        <f t="shared" si="71"/>
        <v>4.0003000000000002</v>
      </c>
      <c r="AX47" s="571">
        <f t="shared" si="72"/>
        <v>4.0000000000000002E-4</v>
      </c>
      <c r="AY47" s="571">
        <f t="shared" si="73"/>
        <v>5.0000000000000001E-4</v>
      </c>
      <c r="AZ47" s="571">
        <f t="shared" si="74"/>
        <v>5.9999999999999995E-4</v>
      </c>
      <c r="BA47" s="571">
        <f t="shared" si="75"/>
        <v>6.9999999999999999E-4</v>
      </c>
      <c r="BB47" s="571">
        <f t="shared" si="76"/>
        <v>2.0007999999999999</v>
      </c>
      <c r="BC47" s="571">
        <f t="shared" si="77"/>
        <v>6.0008999999999997</v>
      </c>
      <c r="BD47" s="571">
        <f t="shared" si="78"/>
        <v>1E-3</v>
      </c>
      <c r="BE47" s="569"/>
      <c r="BF47" s="569"/>
      <c r="BG47" s="569"/>
      <c r="BH47" s="569"/>
      <c r="BI47" s="377">
        <f t="shared" si="79"/>
        <v>12</v>
      </c>
      <c r="BJ47" s="377">
        <f t="shared" si="80"/>
        <v>13</v>
      </c>
      <c r="BK47" s="377">
        <f t="shared" si="81"/>
        <v>14</v>
      </c>
      <c r="BL47" s="377" t="e">
        <f t="shared" si="82"/>
        <v>#VALUE!</v>
      </c>
      <c r="BM47" s="377" t="e">
        <f t="shared" si="83"/>
        <v>#VALUE!</v>
      </c>
      <c r="BN47" s="377" t="e">
        <f t="shared" si="84"/>
        <v>#VALUE!</v>
      </c>
      <c r="BO47" s="377" t="e">
        <f t="shared" si="85"/>
        <v>#VALUE!</v>
      </c>
      <c r="BP47" s="377">
        <f t="shared" si="86"/>
        <v>9</v>
      </c>
      <c r="BQ47" s="377">
        <f t="shared" si="87"/>
        <v>12</v>
      </c>
      <c r="BR47" s="377" t="e">
        <f t="shared" si="88"/>
        <v>#VALUE!</v>
      </c>
    </row>
    <row r="48" spans="1:70" ht="12.75" customHeight="1" x14ac:dyDescent="0.2">
      <c r="A48" s="484" t="str">
        <f t="shared" si="45"/>
        <v/>
      </c>
      <c r="B48" s="485">
        <f t="shared" si="46"/>
        <v>-958</v>
      </c>
      <c r="C48" s="486" t="str">
        <f t="shared" si="47"/>
        <v/>
      </c>
      <c r="D48" s="487">
        <f t="shared" si="48"/>
        <v>-958</v>
      </c>
      <c r="E48" s="488">
        <f t="shared" si="49"/>
        <v>34</v>
      </c>
      <c r="F48" s="489">
        <f t="shared" si="50"/>
        <v>42</v>
      </c>
      <c r="G48" s="490" t="str">
        <f t="shared" si="51"/>
        <v/>
      </c>
      <c r="H48" s="489">
        <f t="shared" si="52"/>
        <v>-958</v>
      </c>
      <c r="I48" s="491" t="str">
        <f t="shared" si="53"/>
        <v/>
      </c>
      <c r="J48" s="554">
        <f t="shared" si="54"/>
        <v>-958</v>
      </c>
      <c r="K48" s="526">
        <f t="shared" si="55"/>
        <v>42</v>
      </c>
      <c r="L48" s="555" t="s">
        <v>396</v>
      </c>
      <c r="M48" s="556"/>
      <c r="N48" s="557" t="s">
        <v>168</v>
      </c>
      <c r="O48" s="558"/>
      <c r="P48" s="559"/>
      <c r="Q48" s="560" t="s">
        <v>398</v>
      </c>
      <c r="R48" s="539">
        <f>(IF(COUNT(Z48,AA48,AB48,AC48,AD48,AE48,AF48,AG48,AH48,AI48)&lt;10,SUM(Z48,AA48,AB48,AC48,AD48,AE48,AF48,AG48,AH48,AI48),SUM(LARGE((Z48,AA48,AB48,AC48,AD48,AE48,AF48,AG48,AH48,AI48),{1;2;3;4;5;6;7;8;9}))))</f>
        <v>20</v>
      </c>
      <c r="S48" s="561" t="str">
        <f>INDEX([1]ETAPP!B$1:B$32,MATCH(COUNTIF(BI48:BR48,1),[1]ETAPP!A$1:A$32,0))&amp;INDEX([1]ETAPP!B$1:B$32,MATCH(COUNTIF(BI48:BR48,2),[1]ETAPP!A$1:A$32,0))&amp;INDEX([1]ETAPP!B$1:B$32,MATCH(COUNTIF(BI48:BR48,3),[1]ETAPP!A$1:A$32,0))&amp;INDEX([1]ETAPP!B$1:B$32,MATCH(COUNTIF(BI48:BR48,4),[1]ETAPP!A$1:A$32,0))&amp;INDEX([1]ETAPP!B$1:B$32,MATCH(COUNTIF(BI48:BR48,5),[1]ETAPP!A$1:A$32,0))&amp;INDEX([1]ETAPP!B$1:B$32,MATCH(COUNTIF(BI48:BR48,6),[1]ETAPP!A$1:A$32,0))&amp;INDEX([1]ETAPP!B$1:B$32,MATCH(COUNTIF(BI48:BR48,7),[1]ETAPP!A$1:A$32,0))&amp;INDEX([1]ETAPP!B$1:B$32,MATCH(COUNTIF(BI48:BR48,8),[1]ETAPP!A$1:A$32,0))&amp;INDEX([1]ETAPP!B$1:B$32,MATCH(COUNTIF(BI48:BR48,9),[1]ETAPP!A$1:A$32,0))&amp;INDEX([1]ETAPP!B$1:B$32,MATCH(COUNTIF(BI48:BR48,10),[1]ETAPP!A$1:A$32,0))&amp;INDEX([1]ETAPP!B$1:B$32,MATCH(COUNTIF(BI48:BR48,11),[1]ETAPP!A$1:A$32,0))&amp;INDEX([1]ETAPP!B$1:B$32,MATCH(COUNTIF(BI48:BR48,12),[1]ETAPP!A$1:A$32,0))&amp;INDEX([1]ETAPP!B$1:B$32,MATCH(COUNTIF(BI48:BR48,13),[1]ETAPP!A$1:A$32,0))&amp;INDEX([1]ETAPP!B$1:B$32,MATCH(COUNTIF(BI48:BR48,14),[1]ETAPP!A$1:A$32,0))&amp;INDEX([1]ETAPP!B$1:B$32,MATCH(COUNTIF(BI48:BR48,15),[1]ETAPP!A$1:A$32,0))&amp;INDEX([1]ETAPP!B$1:B$32,MATCH(COUNTIF(BI48:BR48,16),[1]ETAPP!A$1:A$32,0))&amp;INDEX([1]ETAPP!B$1:B$32,MATCH(COUNTIF(BI48:BR48,17),[1]ETAPP!A$1:A$32,0))&amp;INDEX([1]ETAPP!B$1:B$32,MATCH(COUNTIF(BI48:BR48,18),[1]ETAPP!A$1:A$32,0))&amp;INDEX([1]ETAPP!B$1:B$32,MATCH(COUNTIF(BI48:BR48,19),[1]ETAPP!A$1:A$32,0))&amp;INDEX([1]ETAPP!B$1:B$32,MATCH(COUNTIF(BI48:BR48,20),[1]ETAPP!A$1:A$32,0))&amp;INDEX([1]ETAPP!B$1:B$32,MATCH(COUNTIF(BI48:BR48,21),[1]ETAPP!A$1:A$32,0))</f>
        <v>0000000000A000B000000</v>
      </c>
      <c r="T48" s="561" t="str">
        <f t="shared" si="56"/>
        <v>020,0-0000000000A000B000000</v>
      </c>
      <c r="U48" s="561">
        <f t="shared" si="57"/>
        <v>42</v>
      </c>
      <c r="V48" s="561">
        <f t="shared" si="58"/>
        <v>4</v>
      </c>
      <c r="W48" s="561" t="str">
        <f t="shared" si="59"/>
        <v>020,0-0000000000A000B000000-004</v>
      </c>
      <c r="X48" s="561">
        <f t="shared" si="60"/>
        <v>42</v>
      </c>
      <c r="Y48" s="562">
        <f t="shared" si="61"/>
        <v>73</v>
      </c>
      <c r="Z48" s="563" t="str">
        <f>IFERROR(INDEX('V1'!C$300:C$400,MATCH("*"&amp;L48&amp;"*",'V1'!B$300:B$400,0)),"  ")</f>
        <v xml:space="preserve">  </v>
      </c>
      <c r="AA48" s="563">
        <f>IFERROR(INDEX('V2'!C$300:C$400,MATCH("*"&amp;L48&amp;"*",'V2'!B$300:B$400,0)),"  ")</f>
        <v>2</v>
      </c>
      <c r="AB48" s="563">
        <f>IFERROR(INDEX('V3'!C$300:C$400,MATCH("*"&amp;L48&amp;"*",'V3'!B$300:B$400,0)),"  ")</f>
        <v>10</v>
      </c>
      <c r="AC48" s="563" t="str">
        <f>IFERROR(INDEX('V4'!C$300:C$400,MATCH("*"&amp;L48&amp;"*",'V4'!B$300:B$400,0)),"  ")</f>
        <v xml:space="preserve">  </v>
      </c>
      <c r="AD48" s="563">
        <f>IFERROR(INDEX('V5'!C$300:C$400,MATCH("*"&amp;L48&amp;"*",'V5'!B$300:B$400,0)),"  ")</f>
        <v>8</v>
      </c>
      <c r="AE48" s="563" t="str">
        <f>IFERROR(INDEX('V6'!C$300:C$400,MATCH("*"&amp;L48&amp;"*",'V6'!B$300:B$400,0)),"  ")</f>
        <v xml:space="preserve">  </v>
      </c>
      <c r="AF48" s="563" t="str">
        <f>IFERROR(INDEX('V7'!C$300:C$400,MATCH("*"&amp;L48&amp;"*",'V7'!B$300:B$400,0)),"  ")</f>
        <v xml:space="preserve">  </v>
      </c>
      <c r="AG48" s="563" t="str">
        <f>IFERROR(INDEX('V8'!C$300:C$400,MATCH("*"&amp;L48&amp;"*",'V8'!B$300:B$400,0)),"  ")</f>
        <v xml:space="preserve">  </v>
      </c>
      <c r="AH48" s="563" t="str">
        <f>IFERROR(INDEX('V9'!C$300:C$400,MATCH("*"&amp;L48&amp;"*",'V9'!B$300:B$400,0)),"  ")</f>
        <v xml:space="preserve">  </v>
      </c>
      <c r="AI48" s="563" t="str">
        <f>IFERROR(INDEX('V10'!C$300:C$400,MATCH("*"&amp;L48&amp;"*",'V10'!B$300:B$400,0)),"  ")</f>
        <v xml:space="preserve">  </v>
      </c>
      <c r="AJ48" s="564">
        <f t="shared" si="62"/>
        <v>42</v>
      </c>
      <c r="AK48" s="565">
        <f t="shared" si="63"/>
        <v>20</v>
      </c>
      <c r="AL48" s="566" t="str">
        <f t="shared" si="64"/>
        <v>edasi 35</v>
      </c>
      <c r="AM48" s="567" t="str">
        <f>IFERROR(INDEX(#REF!,MATCH("*"&amp;L48&amp;"*",#REF!,0)),"  ")</f>
        <v xml:space="preserve">  </v>
      </c>
      <c r="AN48" s="568">
        <f t="shared" si="65"/>
        <v>3</v>
      </c>
      <c r="AO48" s="469">
        <f t="shared" si="66"/>
        <v>0</v>
      </c>
      <c r="AP48" s="469">
        <f t="shared" si="67"/>
        <v>0</v>
      </c>
      <c r="AQ48" s="569"/>
      <c r="AR48" s="569"/>
      <c r="AS48" s="569"/>
      <c r="AT48" s="570">
        <f t="shared" si="68"/>
        <v>1E-4</v>
      </c>
      <c r="AU48" s="571">
        <f t="shared" si="69"/>
        <v>1E-4</v>
      </c>
      <c r="AV48" s="571">
        <f t="shared" si="70"/>
        <v>2.0002</v>
      </c>
      <c r="AW48" s="571">
        <f t="shared" si="71"/>
        <v>10.000299999999999</v>
      </c>
      <c r="AX48" s="571">
        <f t="shared" si="72"/>
        <v>4.0000000000000002E-4</v>
      </c>
      <c r="AY48" s="571">
        <f t="shared" si="73"/>
        <v>8.0005000000000006</v>
      </c>
      <c r="AZ48" s="571">
        <f t="shared" si="74"/>
        <v>5.9999999999999995E-4</v>
      </c>
      <c r="BA48" s="571">
        <f t="shared" si="75"/>
        <v>6.9999999999999999E-4</v>
      </c>
      <c r="BB48" s="571">
        <f t="shared" si="76"/>
        <v>8.0000000000000004E-4</v>
      </c>
      <c r="BC48" s="571">
        <f t="shared" si="77"/>
        <v>8.9999999999999998E-4</v>
      </c>
      <c r="BD48" s="571">
        <f t="shared" si="78"/>
        <v>1E-3</v>
      </c>
      <c r="BE48" s="569"/>
      <c r="BF48" s="569"/>
      <c r="BG48" s="569"/>
      <c r="BH48" s="569"/>
      <c r="BI48" s="377" t="e">
        <f t="shared" si="79"/>
        <v>#VALUE!</v>
      </c>
      <c r="BJ48" s="377">
        <f t="shared" si="80"/>
        <v>15</v>
      </c>
      <c r="BK48" s="377">
        <f t="shared" si="81"/>
        <v>11</v>
      </c>
      <c r="BL48" s="377" t="e">
        <f t="shared" si="82"/>
        <v>#VALUE!</v>
      </c>
      <c r="BM48" s="377">
        <f t="shared" si="83"/>
        <v>15</v>
      </c>
      <c r="BN48" s="377" t="e">
        <f t="shared" si="84"/>
        <v>#VALUE!</v>
      </c>
      <c r="BO48" s="377" t="e">
        <f t="shared" si="85"/>
        <v>#VALUE!</v>
      </c>
      <c r="BP48" s="377" t="e">
        <f t="shared" si="86"/>
        <v>#VALUE!</v>
      </c>
      <c r="BQ48" s="377" t="e">
        <f t="shared" si="87"/>
        <v>#VALUE!</v>
      </c>
      <c r="BR48" s="377" t="e">
        <f t="shared" si="88"/>
        <v>#VALUE!</v>
      </c>
    </row>
    <row r="49" spans="1:70" ht="12.75" customHeight="1" x14ac:dyDescent="0.2">
      <c r="A49" s="484">
        <f t="shared" si="45"/>
        <v>31</v>
      </c>
      <c r="B49" s="485">
        <f t="shared" si="46"/>
        <v>43</v>
      </c>
      <c r="C49" s="486" t="str">
        <f t="shared" si="47"/>
        <v/>
      </c>
      <c r="D49" s="487">
        <f t="shared" si="48"/>
        <v>-957</v>
      </c>
      <c r="E49" s="488" t="str">
        <f t="shared" si="49"/>
        <v/>
      </c>
      <c r="F49" s="489">
        <f t="shared" si="50"/>
        <v>-957</v>
      </c>
      <c r="G49" s="490">
        <f t="shared" si="51"/>
        <v>9</v>
      </c>
      <c r="H49" s="489">
        <f t="shared" si="52"/>
        <v>43</v>
      </c>
      <c r="I49" s="491" t="str">
        <f t="shared" si="53"/>
        <v/>
      </c>
      <c r="J49" s="554">
        <f t="shared" si="54"/>
        <v>-957</v>
      </c>
      <c r="K49" s="526">
        <f t="shared" si="55"/>
        <v>43</v>
      </c>
      <c r="L49" s="555" t="s">
        <v>274</v>
      </c>
      <c r="M49" s="556" t="s">
        <v>170</v>
      </c>
      <c r="N49" s="557"/>
      <c r="O49" s="579"/>
      <c r="P49" s="559"/>
      <c r="Q49" s="560" t="s">
        <v>148</v>
      </c>
      <c r="R49" s="539">
        <f>(IF(COUNT(Z49,AA49,AB49,AC49,AD49,AE49,AF49,AG49,AH49,AI49)&lt;10,SUM(Z49,AA49,AB49,AC49,AD49,AE49,AF49,AG49,AH49,AI49),SUM(LARGE((Z49,AA49,AB49,AC49,AD49,AE49,AF49,AG49,AH49,AI49),{1;2;3;4;5;6;7;8;9}))))</f>
        <v>14</v>
      </c>
      <c r="S49" s="561" t="str">
        <f>INDEX([1]ETAPP!B$1:B$32,MATCH(COUNTIF(BI49:BR49,1),[1]ETAPP!A$1:A$32,0))&amp;INDEX([1]ETAPP!B$1:B$32,MATCH(COUNTIF(BI49:BR49,2),[1]ETAPP!A$1:A$32,0))&amp;INDEX([1]ETAPP!B$1:B$32,MATCH(COUNTIF(BI49:BR49,3),[1]ETAPP!A$1:A$32,0))&amp;INDEX([1]ETAPP!B$1:B$32,MATCH(COUNTIF(BI49:BR49,4),[1]ETAPP!A$1:A$32,0))&amp;INDEX([1]ETAPP!B$1:B$32,MATCH(COUNTIF(BI49:BR49,5),[1]ETAPP!A$1:A$32,0))&amp;INDEX([1]ETAPP!B$1:B$32,MATCH(COUNTIF(BI49:BR49,6),[1]ETAPP!A$1:A$32,0))&amp;INDEX([1]ETAPP!B$1:B$32,MATCH(COUNTIF(BI49:BR49,7),[1]ETAPP!A$1:A$32,0))&amp;INDEX([1]ETAPP!B$1:B$32,MATCH(COUNTIF(BI49:BR49,8),[1]ETAPP!A$1:A$32,0))&amp;INDEX([1]ETAPP!B$1:B$32,MATCH(COUNTIF(BI49:BR49,9),[1]ETAPP!A$1:A$32,0))&amp;INDEX([1]ETAPP!B$1:B$32,MATCH(COUNTIF(BI49:BR49,10),[1]ETAPP!A$1:A$32,0))&amp;INDEX([1]ETAPP!B$1:B$32,MATCH(COUNTIF(BI49:BR49,11),[1]ETAPP!A$1:A$32,0))&amp;INDEX([1]ETAPP!B$1:B$32,MATCH(COUNTIF(BI49:BR49,12),[1]ETAPP!A$1:A$32,0))&amp;INDEX([1]ETAPP!B$1:B$32,MATCH(COUNTIF(BI49:BR49,13),[1]ETAPP!A$1:A$32,0))&amp;INDEX([1]ETAPP!B$1:B$32,MATCH(COUNTIF(BI49:BR49,14),[1]ETAPP!A$1:A$32,0))&amp;INDEX([1]ETAPP!B$1:B$32,MATCH(COUNTIF(BI49:BR49,15),[1]ETAPP!A$1:A$32,0))&amp;INDEX([1]ETAPP!B$1:B$32,MATCH(COUNTIF(BI49:BR49,16),[1]ETAPP!A$1:A$32,0))&amp;INDEX([1]ETAPP!B$1:B$32,MATCH(COUNTIF(BI49:BR49,17),[1]ETAPP!A$1:A$32,0))&amp;INDEX([1]ETAPP!B$1:B$32,MATCH(COUNTIF(BI49:BR49,18),[1]ETAPP!A$1:A$32,0))&amp;INDEX([1]ETAPP!B$1:B$32,MATCH(COUNTIF(BI49:BR49,19),[1]ETAPP!A$1:A$32,0))&amp;INDEX([1]ETAPP!B$1:B$32,MATCH(COUNTIF(BI49:BR49,20),[1]ETAPP!A$1:A$32,0))&amp;INDEX([1]ETAPP!B$1:B$32,MATCH(COUNTIF(BI49:BR49,21),[1]ETAPP!A$1:A$32,0))</f>
        <v>000000000AA0000000000</v>
      </c>
      <c r="T49" s="561" t="str">
        <f t="shared" si="56"/>
        <v>014,0-000000000AA0000000000</v>
      </c>
      <c r="U49" s="561">
        <f t="shared" si="57"/>
        <v>43</v>
      </c>
      <c r="V49" s="561">
        <f t="shared" si="58"/>
        <v>8</v>
      </c>
      <c r="W49" s="561" t="str">
        <f t="shared" si="59"/>
        <v>014,0-000000000AA0000000000-008</v>
      </c>
      <c r="X49" s="561">
        <f t="shared" si="60"/>
        <v>43</v>
      </c>
      <c r="Y49" s="562">
        <f t="shared" si="61"/>
        <v>72</v>
      </c>
      <c r="Z49" s="563" t="str">
        <f>IFERROR(INDEX('V1'!C$300:C$400,MATCH("*"&amp;L49&amp;"*",'V1'!B$300:B$400,0)),"  ")</f>
        <v xml:space="preserve">  </v>
      </c>
      <c r="AA49" s="563" t="str">
        <f>IFERROR(INDEX('V2'!C$300:C$400,MATCH("*"&amp;L49&amp;"*",'V2'!B$300:B$400,0)),"  ")</f>
        <v xml:space="preserve">  </v>
      </c>
      <c r="AB49" s="563" t="str">
        <f>IFERROR(INDEX('V3'!C$300:C$400,MATCH("*"&amp;L49&amp;"*",'V3'!B$300:B$400,0)),"  ")</f>
        <v xml:space="preserve">  </v>
      </c>
      <c r="AC49" s="563" t="str">
        <f>IFERROR(INDEX('V4'!C$300:C$400,MATCH("*"&amp;L49&amp;"*",'V4'!B$300:B$400,0)),"  ")</f>
        <v xml:space="preserve">  </v>
      </c>
      <c r="AD49" s="563" t="str">
        <f>IFERROR(INDEX('V5'!C$300:C$400,MATCH("*"&amp;L49&amp;"*",'V5'!B$300:B$400,0)),"  ")</f>
        <v xml:space="preserve">  </v>
      </c>
      <c r="AE49" s="563">
        <f>IFERROR(INDEX('V6'!C$300:C$400,MATCH("*"&amp;L49&amp;"*",'V6'!B$300:B$400,0)),"  ")</f>
        <v>12</v>
      </c>
      <c r="AF49" s="563">
        <f>IFERROR(INDEX('V7'!C$300:C$400,MATCH("*"&amp;L49&amp;"*",'V7'!B$300:B$400,0)),"  ")</f>
        <v>2</v>
      </c>
      <c r="AG49" s="563" t="str">
        <f>IFERROR(INDEX('V8'!C$300:C$400,MATCH("*"&amp;L49&amp;"*",'V8'!B$300:B$400,0)),"  ")</f>
        <v xml:space="preserve">  </v>
      </c>
      <c r="AH49" s="563" t="str">
        <f>IFERROR(INDEX('V9'!C$300:C$400,MATCH("*"&amp;L49&amp;"*",'V9'!B$300:B$400,0)),"  ")</f>
        <v xml:space="preserve">  </v>
      </c>
      <c r="AI49" s="563" t="str">
        <f>IFERROR(INDEX('V10'!C$300:C$400,MATCH("*"&amp;L49&amp;"*",'V10'!B$300:B$400,0)),"  ")</f>
        <v xml:space="preserve">  </v>
      </c>
      <c r="AJ49" s="564" t="str">
        <f t="shared" si="62"/>
        <v/>
      </c>
      <c r="AK49" s="565">
        <f t="shared" si="63"/>
        <v>14</v>
      </c>
      <c r="AL49" s="566">
        <f t="shared" si="64"/>
        <v>43</v>
      </c>
      <c r="AM49" s="567" t="str">
        <f>IFERROR(INDEX(#REF!,MATCH("*"&amp;L49&amp;"*",#REF!,0)),"  ")</f>
        <v xml:space="preserve">  </v>
      </c>
      <c r="AN49" s="568">
        <f t="shared" si="65"/>
        <v>2</v>
      </c>
      <c r="AO49" s="469">
        <f t="shared" si="66"/>
        <v>0</v>
      </c>
      <c r="AP49" s="469">
        <f t="shared" si="67"/>
        <v>0</v>
      </c>
      <c r="AQ49" s="569"/>
      <c r="AR49" s="569"/>
      <c r="AS49" s="569"/>
      <c r="AT49" s="570">
        <f t="shared" si="68"/>
        <v>1E-4</v>
      </c>
      <c r="AU49" s="571">
        <f t="shared" si="69"/>
        <v>1E-4</v>
      </c>
      <c r="AV49" s="571">
        <f t="shared" si="70"/>
        <v>2.0000000000000001E-4</v>
      </c>
      <c r="AW49" s="571">
        <f t="shared" si="71"/>
        <v>2.9999999999999997E-4</v>
      </c>
      <c r="AX49" s="571">
        <f t="shared" si="72"/>
        <v>4.0000000000000002E-4</v>
      </c>
      <c r="AY49" s="571">
        <f t="shared" si="73"/>
        <v>5.0000000000000001E-4</v>
      </c>
      <c r="AZ49" s="571">
        <f t="shared" si="74"/>
        <v>12.0006</v>
      </c>
      <c r="BA49" s="571">
        <f t="shared" si="75"/>
        <v>2.0007000000000001</v>
      </c>
      <c r="BB49" s="571">
        <f t="shared" si="76"/>
        <v>8.0000000000000004E-4</v>
      </c>
      <c r="BC49" s="571">
        <f t="shared" si="77"/>
        <v>8.9999999999999998E-4</v>
      </c>
      <c r="BD49" s="571">
        <f t="shared" si="78"/>
        <v>1E-3</v>
      </c>
      <c r="BE49" s="569"/>
      <c r="BF49" s="569"/>
      <c r="BG49" s="569"/>
      <c r="BH49" s="569"/>
      <c r="BI49" s="377" t="e">
        <f t="shared" si="79"/>
        <v>#VALUE!</v>
      </c>
      <c r="BJ49" s="377" t="e">
        <f t="shared" si="80"/>
        <v>#VALUE!</v>
      </c>
      <c r="BK49" s="377" t="e">
        <f t="shared" si="81"/>
        <v>#VALUE!</v>
      </c>
      <c r="BL49" s="377" t="e">
        <f t="shared" si="82"/>
        <v>#VALUE!</v>
      </c>
      <c r="BM49" s="377" t="e">
        <f t="shared" si="83"/>
        <v>#VALUE!</v>
      </c>
      <c r="BN49" s="377">
        <f t="shared" si="84"/>
        <v>11</v>
      </c>
      <c r="BO49" s="377">
        <f t="shared" si="85"/>
        <v>10</v>
      </c>
      <c r="BP49" s="377" t="e">
        <f t="shared" si="86"/>
        <v>#VALUE!</v>
      </c>
      <c r="BQ49" s="377" t="e">
        <f t="shared" si="87"/>
        <v>#VALUE!</v>
      </c>
      <c r="BR49" s="377" t="e">
        <f t="shared" si="88"/>
        <v>#VALUE!</v>
      </c>
    </row>
    <row r="50" spans="1:70" ht="12.75" customHeight="1" x14ac:dyDescent="0.2">
      <c r="A50" s="484" t="str">
        <f t="shared" si="45"/>
        <v/>
      </c>
      <c r="B50" s="485">
        <f t="shared" si="46"/>
        <v>-956</v>
      </c>
      <c r="C50" s="486" t="str">
        <f t="shared" si="47"/>
        <v/>
      </c>
      <c r="D50" s="487">
        <f t="shared" si="48"/>
        <v>-956</v>
      </c>
      <c r="E50" s="488" t="str">
        <f t="shared" si="49"/>
        <v/>
      </c>
      <c r="F50" s="489">
        <f t="shared" si="50"/>
        <v>-956</v>
      </c>
      <c r="G50" s="490" t="str">
        <f t="shared" si="51"/>
        <v/>
      </c>
      <c r="H50" s="489">
        <f t="shared" si="52"/>
        <v>-956</v>
      </c>
      <c r="I50" s="491" t="str">
        <f t="shared" si="53"/>
        <v/>
      </c>
      <c r="J50" s="554">
        <f t="shared" si="54"/>
        <v>-956</v>
      </c>
      <c r="K50" s="526">
        <f t="shared" si="55"/>
        <v>44</v>
      </c>
      <c r="L50" s="555" t="s">
        <v>432</v>
      </c>
      <c r="M50" s="556"/>
      <c r="N50" s="557"/>
      <c r="O50" s="579"/>
      <c r="P50" s="559"/>
      <c r="Q50" s="560"/>
      <c r="R50" s="539">
        <f>(IF(COUNT(Z50,AA50,AB50,AC50,AD50,AE50,AF50,AG50,AH50,AI50)&lt;10,SUM(Z50,AA50,AB50,AC50,AD50,AE50,AF50,AG50,AH50,AI50),SUM(LARGE((Z50,AA50,AB50,AC50,AD50,AE50,AF50,AG50,AH50,AI50),{1;2;3;4;5;6;7;8;9}))))</f>
        <v>14</v>
      </c>
      <c r="S50" s="561" t="str">
        <f>INDEX([1]ETAPP!B$1:B$32,MATCH(COUNTIF(BI50:BR50,1),[1]ETAPP!A$1:A$32,0))&amp;INDEX([1]ETAPP!B$1:B$32,MATCH(COUNTIF(BI50:BR50,2),[1]ETAPP!A$1:A$32,0))&amp;INDEX([1]ETAPP!B$1:B$32,MATCH(COUNTIF(BI50:BR50,3),[1]ETAPP!A$1:A$32,0))&amp;INDEX([1]ETAPP!B$1:B$32,MATCH(COUNTIF(BI50:BR50,4),[1]ETAPP!A$1:A$32,0))&amp;INDEX([1]ETAPP!B$1:B$32,MATCH(COUNTIF(BI50:BR50,5),[1]ETAPP!A$1:A$32,0))&amp;INDEX([1]ETAPP!B$1:B$32,MATCH(COUNTIF(BI50:BR50,6),[1]ETAPP!A$1:A$32,0))&amp;INDEX([1]ETAPP!B$1:B$32,MATCH(COUNTIF(BI50:BR50,7),[1]ETAPP!A$1:A$32,0))&amp;INDEX([1]ETAPP!B$1:B$32,MATCH(COUNTIF(BI50:BR50,8),[1]ETAPP!A$1:A$32,0))&amp;INDEX([1]ETAPP!B$1:B$32,MATCH(COUNTIF(BI50:BR50,9),[1]ETAPP!A$1:A$32,0))&amp;INDEX([1]ETAPP!B$1:B$32,MATCH(COUNTIF(BI50:BR50,10),[1]ETAPP!A$1:A$32,0))&amp;INDEX([1]ETAPP!B$1:B$32,MATCH(COUNTIF(BI50:BR50,11),[1]ETAPP!A$1:A$32,0))&amp;INDEX([1]ETAPP!B$1:B$32,MATCH(COUNTIF(BI50:BR50,12),[1]ETAPP!A$1:A$32,0))&amp;INDEX([1]ETAPP!B$1:B$32,MATCH(COUNTIF(BI50:BR50,13),[1]ETAPP!A$1:A$32,0))&amp;INDEX([1]ETAPP!B$1:B$32,MATCH(COUNTIF(BI50:BR50,14),[1]ETAPP!A$1:A$32,0))&amp;INDEX([1]ETAPP!B$1:B$32,MATCH(COUNTIF(BI50:BR50,15),[1]ETAPP!A$1:A$32,0))&amp;INDEX([1]ETAPP!B$1:B$32,MATCH(COUNTIF(BI50:BR50,16),[1]ETAPP!A$1:A$32,0))&amp;INDEX([1]ETAPP!B$1:B$32,MATCH(COUNTIF(BI50:BR50,17),[1]ETAPP!A$1:A$32,0))&amp;INDEX([1]ETAPP!B$1:B$32,MATCH(COUNTIF(BI50:BR50,18),[1]ETAPP!A$1:A$32,0))&amp;INDEX([1]ETAPP!B$1:B$32,MATCH(COUNTIF(BI50:BR50,19),[1]ETAPP!A$1:A$32,0))&amp;INDEX([1]ETAPP!B$1:B$32,MATCH(COUNTIF(BI50:BR50,20),[1]ETAPP!A$1:A$32,0))&amp;INDEX([1]ETAPP!B$1:B$32,MATCH(COUNTIF(BI50:BR50,21),[1]ETAPP!A$1:A$32,0))</f>
        <v>00000000000A00A000000</v>
      </c>
      <c r="T50" s="561" t="str">
        <f t="shared" si="56"/>
        <v>014,0-00000000000A00A000000</v>
      </c>
      <c r="U50" s="561">
        <f t="shared" si="57"/>
        <v>44</v>
      </c>
      <c r="V50" s="561">
        <f t="shared" si="58"/>
        <v>94</v>
      </c>
      <c r="W50" s="561" t="str">
        <f t="shared" si="59"/>
        <v>014,0-00000000000A00A000000-094</v>
      </c>
      <c r="X50" s="561">
        <f t="shared" si="60"/>
        <v>44</v>
      </c>
      <c r="Y50" s="562">
        <f t="shared" si="61"/>
        <v>71</v>
      </c>
      <c r="Z50" s="563" t="str">
        <f>IFERROR(INDEX('V1'!C$300:C$400,MATCH("*"&amp;L50&amp;"*",'V1'!B$300:B$400,0)),"  ")</f>
        <v xml:space="preserve">  </v>
      </c>
      <c r="AA50" s="563" t="str">
        <f>IFERROR(INDEX('V2'!C$300:C$400,MATCH("*"&amp;L50&amp;"*",'V2'!B$300:B$400,0)),"  ")</f>
        <v xml:space="preserve">  </v>
      </c>
      <c r="AB50" s="563" t="str">
        <f>IFERROR(INDEX('V3'!C$300:C$400,MATCH("*"&amp;L50&amp;"*",'V3'!B$300:B$400,0)),"  ")</f>
        <v xml:space="preserve">  </v>
      </c>
      <c r="AC50" s="563">
        <f>IFERROR(INDEX('V4'!C$300:C$400,MATCH("*"&amp;L50&amp;"*",'V4'!B$300:B$400,0)),"  ")</f>
        <v>6</v>
      </c>
      <c r="AD50" s="563">
        <f>IFERROR(INDEX('V5'!C$300:C$400,MATCH("*"&amp;L50&amp;"*",'V5'!B$300:B$400,0)),"  ")</f>
        <v>8</v>
      </c>
      <c r="AE50" s="563" t="str">
        <f>IFERROR(INDEX('V6'!C$300:C$400,MATCH("*"&amp;L50&amp;"*",'V6'!B$300:B$400,0)),"  ")</f>
        <v xml:space="preserve">  </v>
      </c>
      <c r="AF50" s="563" t="str">
        <f>IFERROR(INDEX('V7'!C$300:C$400,MATCH("*"&amp;L50&amp;"*",'V7'!B$300:B$400,0)),"  ")</f>
        <v xml:space="preserve">  </v>
      </c>
      <c r="AG50" s="563" t="str">
        <f>IFERROR(INDEX('V8'!C$300:C$400,MATCH("*"&amp;L50&amp;"*",'V8'!B$300:B$400,0)),"  ")</f>
        <v xml:space="preserve">  </v>
      </c>
      <c r="AH50" s="563" t="str">
        <f>IFERROR(INDEX('V9'!C$300:C$400,MATCH("*"&amp;L50&amp;"*",'V9'!B$300:B$400,0)),"  ")</f>
        <v xml:space="preserve">  </v>
      </c>
      <c r="AI50" s="563" t="str">
        <f>IFERROR(INDEX('V10'!C$300:C$400,MATCH("*"&amp;L50&amp;"*",'V10'!B$300:B$400,0)),"  ")</f>
        <v xml:space="preserve">  </v>
      </c>
      <c r="AJ50" s="564" t="str">
        <f t="shared" si="62"/>
        <v/>
      </c>
      <c r="AK50" s="565">
        <f t="shared" si="63"/>
        <v>14</v>
      </c>
      <c r="AL50" s="566">
        <f t="shared" si="64"/>
        <v>44</v>
      </c>
      <c r="AM50" s="567" t="str">
        <f>IFERROR(INDEX(#REF!,MATCH("*"&amp;L50&amp;"*",#REF!,0)),"  ")</f>
        <v xml:space="preserve">  </v>
      </c>
      <c r="AN50" s="568">
        <f t="shared" si="65"/>
        <v>2</v>
      </c>
      <c r="AO50" s="469">
        <f t="shared" si="66"/>
        <v>0</v>
      </c>
      <c r="AP50" s="469">
        <f t="shared" si="67"/>
        <v>0</v>
      </c>
      <c r="AQ50" s="569"/>
      <c r="AR50" s="569"/>
      <c r="AS50" s="569"/>
      <c r="AT50" s="570">
        <f t="shared" si="68"/>
        <v>1E-4</v>
      </c>
      <c r="AU50" s="571">
        <f t="shared" si="69"/>
        <v>1E-4</v>
      </c>
      <c r="AV50" s="571">
        <f t="shared" si="70"/>
        <v>2.0000000000000001E-4</v>
      </c>
      <c r="AW50" s="571">
        <f t="shared" si="71"/>
        <v>2.9999999999999997E-4</v>
      </c>
      <c r="AX50" s="571">
        <f t="shared" si="72"/>
        <v>6.0004</v>
      </c>
      <c r="AY50" s="571">
        <f t="shared" si="73"/>
        <v>8.0005000000000006</v>
      </c>
      <c r="AZ50" s="571">
        <f t="shared" si="74"/>
        <v>5.9999999999999995E-4</v>
      </c>
      <c r="BA50" s="571">
        <f t="shared" si="75"/>
        <v>6.9999999999999999E-4</v>
      </c>
      <c r="BB50" s="571">
        <f t="shared" si="76"/>
        <v>8.0000000000000004E-4</v>
      </c>
      <c r="BC50" s="571">
        <f t="shared" si="77"/>
        <v>8.9999999999999998E-4</v>
      </c>
      <c r="BD50" s="571">
        <f t="shared" si="78"/>
        <v>1E-3</v>
      </c>
      <c r="BE50" s="569"/>
      <c r="BF50" s="569"/>
      <c r="BG50" s="569"/>
      <c r="BH50" s="569"/>
      <c r="BI50" s="377" t="e">
        <f t="shared" si="79"/>
        <v>#VALUE!</v>
      </c>
      <c r="BJ50" s="377" t="e">
        <f t="shared" si="80"/>
        <v>#VALUE!</v>
      </c>
      <c r="BK50" s="377" t="e">
        <f t="shared" si="81"/>
        <v>#VALUE!</v>
      </c>
      <c r="BL50" s="377">
        <f t="shared" si="82"/>
        <v>12</v>
      </c>
      <c r="BM50" s="377">
        <f t="shared" si="83"/>
        <v>15</v>
      </c>
      <c r="BN50" s="377" t="e">
        <f t="shared" si="84"/>
        <v>#VALUE!</v>
      </c>
      <c r="BO50" s="377" t="e">
        <f t="shared" si="85"/>
        <v>#VALUE!</v>
      </c>
      <c r="BP50" s="377" t="e">
        <f t="shared" si="86"/>
        <v>#VALUE!</v>
      </c>
      <c r="BQ50" s="377" t="e">
        <f t="shared" si="87"/>
        <v>#VALUE!</v>
      </c>
      <c r="BR50" s="377" t="e">
        <f t="shared" si="88"/>
        <v>#VALUE!</v>
      </c>
    </row>
    <row r="51" spans="1:70" ht="12.75" customHeight="1" x14ac:dyDescent="0.2">
      <c r="A51" s="484" t="str">
        <f t="shared" si="45"/>
        <v/>
      </c>
      <c r="B51" s="485">
        <f t="shared" si="46"/>
        <v>-954</v>
      </c>
      <c r="C51" s="486" t="str">
        <f t="shared" si="47"/>
        <v/>
      </c>
      <c r="D51" s="487">
        <f t="shared" si="48"/>
        <v>-954</v>
      </c>
      <c r="E51" s="488">
        <f t="shared" si="49"/>
        <v>35</v>
      </c>
      <c r="F51" s="489">
        <f t="shared" si="50"/>
        <v>46</v>
      </c>
      <c r="G51" s="490" t="str">
        <f t="shared" si="51"/>
        <v/>
      </c>
      <c r="H51" s="489">
        <f t="shared" si="52"/>
        <v>-954</v>
      </c>
      <c r="I51" s="491" t="str">
        <f t="shared" si="53"/>
        <v/>
      </c>
      <c r="J51" s="554">
        <f t="shared" si="54"/>
        <v>-954</v>
      </c>
      <c r="K51" s="526">
        <f t="shared" si="55"/>
        <v>45</v>
      </c>
      <c r="L51" s="572" t="s">
        <v>207</v>
      </c>
      <c r="M51" s="556"/>
      <c r="N51" s="557" t="str">
        <f>IF(M51="","m","")</f>
        <v>m</v>
      </c>
      <c r="O51" s="558"/>
      <c r="P51" s="559"/>
      <c r="Q51" s="560" t="s">
        <v>270</v>
      </c>
      <c r="R51" s="539">
        <f>(IF(COUNT(Z51,AA51,AB51,AC51,AD51,AE51,AF51,AG51,AH51,AI51)&lt;10,SUM(Z51,AA51,AB51,AC51,AD51,AE51,AF51,AG51,AH51,AI51),SUM(LARGE((Z51,AA51,AB51,AC51,AD51,AE51,AF51,AG51,AH51,AI51),{1;2;3;4;5;6;7;8;9}))))</f>
        <v>12</v>
      </c>
      <c r="S51" s="561" t="str">
        <f>INDEX([1]ETAPP!B$1:B$32,MATCH(COUNTIF(BI51:BR51,1),[1]ETAPP!A$1:A$32,0))&amp;INDEX([1]ETAPP!B$1:B$32,MATCH(COUNTIF(BI51:BR51,2),[1]ETAPP!A$1:A$32,0))&amp;INDEX([1]ETAPP!B$1:B$32,MATCH(COUNTIF(BI51:BR51,3),[1]ETAPP!A$1:A$32,0))&amp;INDEX([1]ETAPP!B$1:B$32,MATCH(COUNTIF(BI51:BR51,4),[1]ETAPP!A$1:A$32,0))&amp;INDEX([1]ETAPP!B$1:B$32,MATCH(COUNTIF(BI51:BR51,5),[1]ETAPP!A$1:A$32,0))&amp;INDEX([1]ETAPP!B$1:B$32,MATCH(COUNTIF(BI51:BR51,6),[1]ETAPP!A$1:A$32,0))&amp;INDEX([1]ETAPP!B$1:B$32,MATCH(COUNTIF(BI51:BR51,7),[1]ETAPP!A$1:A$32,0))&amp;INDEX([1]ETAPP!B$1:B$32,MATCH(COUNTIF(BI51:BR51,8),[1]ETAPP!A$1:A$32,0))&amp;INDEX([1]ETAPP!B$1:B$32,MATCH(COUNTIF(BI51:BR51,9),[1]ETAPP!A$1:A$32,0))&amp;INDEX([1]ETAPP!B$1:B$32,MATCH(COUNTIF(BI51:BR51,10),[1]ETAPP!A$1:A$32,0))&amp;INDEX([1]ETAPP!B$1:B$32,MATCH(COUNTIF(BI51:BR51,11),[1]ETAPP!A$1:A$32,0))&amp;INDEX([1]ETAPP!B$1:B$32,MATCH(COUNTIF(BI51:BR51,12),[1]ETAPP!A$1:A$32,0))&amp;INDEX([1]ETAPP!B$1:B$32,MATCH(COUNTIF(BI51:BR51,13),[1]ETAPP!A$1:A$32,0))&amp;INDEX([1]ETAPP!B$1:B$32,MATCH(COUNTIF(BI51:BR51,14),[1]ETAPP!A$1:A$32,0))&amp;INDEX([1]ETAPP!B$1:B$32,MATCH(COUNTIF(BI51:BR51,15),[1]ETAPP!A$1:A$32,0))&amp;INDEX([1]ETAPP!B$1:B$32,MATCH(COUNTIF(BI51:BR51,16),[1]ETAPP!A$1:A$32,0))&amp;INDEX([1]ETAPP!B$1:B$32,MATCH(COUNTIF(BI51:BR51,17),[1]ETAPP!A$1:A$32,0))&amp;INDEX([1]ETAPP!B$1:B$32,MATCH(COUNTIF(BI51:BR51,18),[1]ETAPP!A$1:A$32,0))&amp;INDEX([1]ETAPP!B$1:B$32,MATCH(COUNTIF(BI51:BR51,19),[1]ETAPP!A$1:A$32,0))&amp;INDEX([1]ETAPP!B$1:B$32,MATCH(COUNTIF(BI51:BR51,20),[1]ETAPP!A$1:A$32,0))&amp;INDEX([1]ETAPP!B$1:B$32,MATCH(COUNTIF(BI51:BR51,21),[1]ETAPP!A$1:A$32,0))</f>
        <v>0000000A0000000000000</v>
      </c>
      <c r="T51" s="561" t="str">
        <f t="shared" si="56"/>
        <v>012,0-0000000A0000000000000</v>
      </c>
      <c r="U51" s="561">
        <f t="shared" si="57"/>
        <v>46</v>
      </c>
      <c r="V51" s="561">
        <f t="shared" si="58"/>
        <v>114</v>
      </c>
      <c r="W51" s="561" t="str">
        <f t="shared" si="59"/>
        <v>012,0-0000000A0000000000000-114</v>
      </c>
      <c r="X51" s="561">
        <f t="shared" si="60"/>
        <v>45</v>
      </c>
      <c r="Y51" s="562">
        <f t="shared" si="61"/>
        <v>70</v>
      </c>
      <c r="Z51" s="563">
        <f>IFERROR(INDEX('V1'!C$300:C$400,MATCH("*"&amp;L51&amp;"*",'V1'!B$300:B$400,0)),"  ")</f>
        <v>12</v>
      </c>
      <c r="AA51" s="563" t="str">
        <f>IFERROR(INDEX('V2'!C$300:C$400,MATCH("*"&amp;L51&amp;"*",'V2'!B$300:B$400,0)),"  ")</f>
        <v xml:space="preserve">  </v>
      </c>
      <c r="AB51" s="563" t="str">
        <f>IFERROR(INDEX('V3'!C$300:C$400,MATCH("*"&amp;L51&amp;"*",'V3'!B$300:B$400,0)),"  ")</f>
        <v xml:space="preserve">  </v>
      </c>
      <c r="AC51" s="563" t="str">
        <f>IFERROR(INDEX('V4'!C$300:C$400,MATCH("*"&amp;L51&amp;"*",'V4'!B$300:B$400,0)),"  ")</f>
        <v xml:space="preserve">  </v>
      </c>
      <c r="AD51" s="563" t="str">
        <f>IFERROR(INDEX('V5'!C$300:C$400,MATCH("*"&amp;L51&amp;"*",'V5'!B$300:B$400,0)),"  ")</f>
        <v xml:space="preserve">  </v>
      </c>
      <c r="AE51" s="563" t="str">
        <f>IFERROR(INDEX('V6'!C$300:C$400,MATCH("*"&amp;L51&amp;"*",'V6'!B$300:B$400,0)),"  ")</f>
        <v xml:space="preserve">  </v>
      </c>
      <c r="AF51" s="563" t="str">
        <f>IFERROR(INDEX('V7'!C$300:C$400,MATCH("*"&amp;L51&amp;"*",'V7'!B$300:B$400,0)),"  ")</f>
        <v xml:space="preserve">  </v>
      </c>
      <c r="AG51" s="563" t="str">
        <f>IFERROR(INDEX('V8'!C$300:C$400,MATCH("*"&amp;L51&amp;"*",'V8'!B$300:B$400,0)),"  ")</f>
        <v xml:space="preserve">  </v>
      </c>
      <c r="AH51" s="563" t="str">
        <f>IFERROR(INDEX('V9'!C$300:C$400,MATCH("*"&amp;L51&amp;"*",'V9'!B$300:B$400,0)),"  ")</f>
        <v xml:space="preserve">  </v>
      </c>
      <c r="AI51" s="563" t="str">
        <f>IFERROR(INDEX('V10'!C$300:C$400,MATCH("*"&amp;L51&amp;"*",'V10'!B$300:B$400,0)),"  ")</f>
        <v xml:space="preserve">  </v>
      </c>
      <c r="AJ51" s="564" t="str">
        <f t="shared" si="62"/>
        <v/>
      </c>
      <c r="AK51" s="565">
        <f t="shared" si="63"/>
        <v>12</v>
      </c>
      <c r="AL51" s="566">
        <f t="shared" si="64"/>
        <v>45</v>
      </c>
      <c r="AM51" s="567" t="str">
        <f>IFERROR(INDEX(#REF!,MATCH("*"&amp;L51&amp;"*",#REF!,0)),"  ")</f>
        <v xml:space="preserve">  </v>
      </c>
      <c r="AN51" s="568">
        <f t="shared" si="65"/>
        <v>1</v>
      </c>
      <c r="AO51" s="469">
        <f t="shared" si="66"/>
        <v>0</v>
      </c>
      <c r="AP51" s="469">
        <f t="shared" si="67"/>
        <v>0</v>
      </c>
      <c r="AQ51" s="569"/>
      <c r="AR51" s="569"/>
      <c r="AS51" s="569"/>
      <c r="AT51" s="570">
        <f t="shared" si="68"/>
        <v>2.0000000000000001E-4</v>
      </c>
      <c r="AU51" s="571">
        <f t="shared" si="69"/>
        <v>12.0001</v>
      </c>
      <c r="AV51" s="571">
        <f t="shared" si="70"/>
        <v>2.0000000000000001E-4</v>
      </c>
      <c r="AW51" s="571">
        <f t="shared" si="71"/>
        <v>2.9999999999999997E-4</v>
      </c>
      <c r="AX51" s="571">
        <f t="shared" si="72"/>
        <v>4.0000000000000002E-4</v>
      </c>
      <c r="AY51" s="571">
        <f t="shared" si="73"/>
        <v>5.0000000000000001E-4</v>
      </c>
      <c r="AZ51" s="571">
        <f t="shared" si="74"/>
        <v>5.9999999999999995E-4</v>
      </c>
      <c r="BA51" s="571">
        <f t="shared" si="75"/>
        <v>6.9999999999999999E-4</v>
      </c>
      <c r="BB51" s="571">
        <f t="shared" si="76"/>
        <v>8.0000000000000004E-4</v>
      </c>
      <c r="BC51" s="571">
        <f t="shared" si="77"/>
        <v>8.9999999999999998E-4</v>
      </c>
      <c r="BD51" s="571">
        <f t="shared" si="78"/>
        <v>1E-3</v>
      </c>
      <c r="BE51" s="569"/>
      <c r="BF51" s="569"/>
      <c r="BG51" s="569"/>
      <c r="BH51" s="569"/>
      <c r="BI51" s="377">
        <f t="shared" si="79"/>
        <v>8</v>
      </c>
      <c r="BJ51" s="377" t="e">
        <f t="shared" si="80"/>
        <v>#VALUE!</v>
      </c>
      <c r="BK51" s="377" t="e">
        <f t="shared" si="81"/>
        <v>#VALUE!</v>
      </c>
      <c r="BL51" s="377" t="e">
        <f t="shared" si="82"/>
        <v>#VALUE!</v>
      </c>
      <c r="BM51" s="377" t="e">
        <f t="shared" si="83"/>
        <v>#VALUE!</v>
      </c>
      <c r="BN51" s="377" t="e">
        <f t="shared" si="84"/>
        <v>#VALUE!</v>
      </c>
      <c r="BO51" s="377" t="e">
        <f t="shared" si="85"/>
        <v>#VALUE!</v>
      </c>
      <c r="BP51" s="377" t="e">
        <f t="shared" si="86"/>
        <v>#VALUE!</v>
      </c>
      <c r="BQ51" s="377" t="e">
        <f t="shared" si="87"/>
        <v>#VALUE!</v>
      </c>
      <c r="BR51" s="377" t="e">
        <f t="shared" si="88"/>
        <v>#VALUE!</v>
      </c>
    </row>
    <row r="52" spans="1:70" ht="12.75" customHeight="1" x14ac:dyDescent="0.2">
      <c r="A52" s="484" t="str">
        <f t="shared" si="45"/>
        <v/>
      </c>
      <c r="B52" s="485">
        <f t="shared" si="46"/>
        <v>-954</v>
      </c>
      <c r="C52" s="486" t="str">
        <f t="shared" si="47"/>
        <v/>
      </c>
      <c r="D52" s="487">
        <f t="shared" si="48"/>
        <v>-954</v>
      </c>
      <c r="E52" s="488">
        <f t="shared" si="49"/>
        <v>35</v>
      </c>
      <c r="F52" s="489">
        <f t="shared" si="50"/>
        <v>46</v>
      </c>
      <c r="G52" s="490" t="str">
        <f t="shared" si="51"/>
        <v/>
      </c>
      <c r="H52" s="489">
        <f t="shared" si="52"/>
        <v>-954</v>
      </c>
      <c r="I52" s="491" t="str">
        <f t="shared" si="53"/>
        <v/>
      </c>
      <c r="J52" s="554">
        <f t="shared" si="54"/>
        <v>-954</v>
      </c>
      <c r="K52" s="526">
        <f t="shared" si="55"/>
        <v>45</v>
      </c>
      <c r="L52" s="585" t="s">
        <v>222</v>
      </c>
      <c r="M52" s="556"/>
      <c r="N52" s="557" t="str">
        <f>IF(M52="","m","")</f>
        <v>m</v>
      </c>
      <c r="O52" s="558"/>
      <c r="P52" s="559"/>
      <c r="Q52" s="560" t="s">
        <v>270</v>
      </c>
      <c r="R52" s="539">
        <f>(IF(COUNT(Z52,AA52,AB52,AC52,AD52,AE52,AF52,AG52,AH52,AI52)&lt;10,SUM(Z52,AA52,AB52,AC52,AD52,AE52,AF52,AG52,AH52,AI52),SUM(LARGE((Z52,AA52,AB52,AC52,AD52,AE52,AF52,AG52,AH52,AI52),{1;2;3;4;5;6;7;8;9}))))</f>
        <v>12</v>
      </c>
      <c r="S52" s="561" t="str">
        <f>INDEX([1]ETAPP!B$1:B$32,MATCH(COUNTIF(BI52:BR52,1),[1]ETAPP!A$1:A$32,0))&amp;INDEX([1]ETAPP!B$1:B$32,MATCH(COUNTIF(BI52:BR52,2),[1]ETAPP!A$1:A$32,0))&amp;INDEX([1]ETAPP!B$1:B$32,MATCH(COUNTIF(BI52:BR52,3),[1]ETAPP!A$1:A$32,0))&amp;INDEX([1]ETAPP!B$1:B$32,MATCH(COUNTIF(BI52:BR52,4),[1]ETAPP!A$1:A$32,0))&amp;INDEX([1]ETAPP!B$1:B$32,MATCH(COUNTIF(BI52:BR52,5),[1]ETAPP!A$1:A$32,0))&amp;INDEX([1]ETAPP!B$1:B$32,MATCH(COUNTIF(BI52:BR52,6),[1]ETAPP!A$1:A$32,0))&amp;INDEX([1]ETAPP!B$1:B$32,MATCH(COUNTIF(BI52:BR52,7),[1]ETAPP!A$1:A$32,0))&amp;INDEX([1]ETAPP!B$1:B$32,MATCH(COUNTIF(BI52:BR52,8),[1]ETAPP!A$1:A$32,0))&amp;INDEX([1]ETAPP!B$1:B$32,MATCH(COUNTIF(BI52:BR52,9),[1]ETAPP!A$1:A$32,0))&amp;INDEX([1]ETAPP!B$1:B$32,MATCH(COUNTIF(BI52:BR52,10),[1]ETAPP!A$1:A$32,0))&amp;INDEX([1]ETAPP!B$1:B$32,MATCH(COUNTIF(BI52:BR52,11),[1]ETAPP!A$1:A$32,0))&amp;INDEX([1]ETAPP!B$1:B$32,MATCH(COUNTIF(BI52:BR52,12),[1]ETAPP!A$1:A$32,0))&amp;INDEX([1]ETAPP!B$1:B$32,MATCH(COUNTIF(BI52:BR52,13),[1]ETAPP!A$1:A$32,0))&amp;INDEX([1]ETAPP!B$1:B$32,MATCH(COUNTIF(BI52:BR52,14),[1]ETAPP!A$1:A$32,0))&amp;INDEX([1]ETAPP!B$1:B$32,MATCH(COUNTIF(BI52:BR52,15),[1]ETAPP!A$1:A$32,0))&amp;INDEX([1]ETAPP!B$1:B$32,MATCH(COUNTIF(BI52:BR52,16),[1]ETAPP!A$1:A$32,0))&amp;INDEX([1]ETAPP!B$1:B$32,MATCH(COUNTIF(BI52:BR52,17),[1]ETAPP!A$1:A$32,0))&amp;INDEX([1]ETAPP!B$1:B$32,MATCH(COUNTIF(BI52:BR52,18),[1]ETAPP!A$1:A$32,0))&amp;INDEX([1]ETAPP!B$1:B$32,MATCH(COUNTIF(BI52:BR52,19),[1]ETAPP!A$1:A$32,0))&amp;INDEX([1]ETAPP!B$1:B$32,MATCH(COUNTIF(BI52:BR52,20),[1]ETAPP!A$1:A$32,0))&amp;INDEX([1]ETAPP!B$1:B$32,MATCH(COUNTIF(BI52:BR52,21),[1]ETAPP!A$1:A$32,0))</f>
        <v>0000000A0000000000000</v>
      </c>
      <c r="T52" s="561" t="str">
        <f t="shared" si="56"/>
        <v>012,0-0000000A0000000000000</v>
      </c>
      <c r="U52" s="561">
        <f t="shared" si="57"/>
        <v>46</v>
      </c>
      <c r="V52" s="561">
        <f t="shared" si="58"/>
        <v>77</v>
      </c>
      <c r="W52" s="561" t="str">
        <f t="shared" si="59"/>
        <v>012,0-0000000A0000000000000-077</v>
      </c>
      <c r="X52" s="561">
        <f t="shared" si="60"/>
        <v>46</v>
      </c>
      <c r="Y52" s="562">
        <f t="shared" si="61"/>
        <v>69</v>
      </c>
      <c r="Z52" s="563">
        <f>IFERROR(INDEX('V1'!C$300:C$400,MATCH("*"&amp;L52&amp;"*",'V1'!B$300:B$400,0)),"  ")</f>
        <v>12</v>
      </c>
      <c r="AA52" s="563" t="str">
        <f>IFERROR(INDEX('V2'!C$300:C$400,MATCH("*"&amp;L52&amp;"*",'V2'!B$300:B$400,0)),"  ")</f>
        <v xml:space="preserve">  </v>
      </c>
      <c r="AB52" s="563" t="str">
        <f>IFERROR(INDEX('V3'!C$300:C$400,MATCH("*"&amp;L52&amp;"*",'V3'!B$300:B$400,0)),"  ")</f>
        <v xml:space="preserve">  </v>
      </c>
      <c r="AC52" s="563" t="str">
        <f>IFERROR(INDEX('V4'!C$300:C$400,MATCH("*"&amp;L52&amp;"*",'V4'!B$300:B$400,0)),"  ")</f>
        <v xml:space="preserve">  </v>
      </c>
      <c r="AD52" s="563" t="str">
        <f>IFERROR(INDEX('V5'!C$300:C$400,MATCH("*"&amp;L52&amp;"*",'V5'!B$300:B$400,0)),"  ")</f>
        <v xml:space="preserve">  </v>
      </c>
      <c r="AE52" s="563" t="str">
        <f>IFERROR(INDEX('V6'!C$300:C$400,MATCH("*"&amp;L52&amp;"*",'V6'!B$300:B$400,0)),"  ")</f>
        <v xml:space="preserve">  </v>
      </c>
      <c r="AF52" s="563" t="str">
        <f>IFERROR(INDEX('V7'!C$300:C$400,MATCH("*"&amp;L52&amp;"*",'V7'!B$300:B$400,0)),"  ")</f>
        <v xml:space="preserve">  </v>
      </c>
      <c r="AG52" s="563" t="str">
        <f>IFERROR(INDEX('V8'!C$300:C$400,MATCH("*"&amp;L52&amp;"*",'V8'!B$300:B$400,0)),"  ")</f>
        <v xml:space="preserve">  </v>
      </c>
      <c r="AH52" s="563" t="str">
        <f>IFERROR(INDEX('V9'!C$300:C$400,MATCH("*"&amp;L52&amp;"*",'V9'!B$300:B$400,0)),"  ")</f>
        <v xml:space="preserve">  </v>
      </c>
      <c r="AI52" s="563" t="str">
        <f>IFERROR(INDEX('V10'!C$300:C$400,MATCH("*"&amp;L52&amp;"*",'V10'!B$300:B$400,0)),"  ")</f>
        <v xml:space="preserve">  </v>
      </c>
      <c r="AJ52" s="564" t="str">
        <f t="shared" si="62"/>
        <v/>
      </c>
      <c r="AK52" s="565">
        <f t="shared" si="63"/>
        <v>12</v>
      </c>
      <c r="AL52" s="566">
        <f t="shared" si="64"/>
        <v>45</v>
      </c>
      <c r="AM52" s="567" t="str">
        <f>IFERROR(INDEX(#REF!,MATCH("*"&amp;L52&amp;"*",#REF!,0)),"  ")</f>
        <v xml:space="preserve">  </v>
      </c>
      <c r="AN52" s="568">
        <f t="shared" si="65"/>
        <v>1</v>
      </c>
      <c r="AO52" s="469">
        <f t="shared" si="66"/>
        <v>0</v>
      </c>
      <c r="AP52" s="469">
        <f t="shared" si="67"/>
        <v>0</v>
      </c>
      <c r="AQ52" s="569"/>
      <c r="AR52" s="569"/>
      <c r="AS52" s="569"/>
      <c r="AT52" s="570">
        <f t="shared" si="68"/>
        <v>2.0000000000000001E-4</v>
      </c>
      <c r="AU52" s="571">
        <f t="shared" si="69"/>
        <v>12.0001</v>
      </c>
      <c r="AV52" s="571">
        <f t="shared" si="70"/>
        <v>2.0000000000000001E-4</v>
      </c>
      <c r="AW52" s="571">
        <f t="shared" si="71"/>
        <v>2.9999999999999997E-4</v>
      </c>
      <c r="AX52" s="571">
        <f t="shared" si="72"/>
        <v>4.0000000000000002E-4</v>
      </c>
      <c r="AY52" s="571">
        <f t="shared" si="73"/>
        <v>5.0000000000000001E-4</v>
      </c>
      <c r="AZ52" s="571">
        <f t="shared" si="74"/>
        <v>5.9999999999999995E-4</v>
      </c>
      <c r="BA52" s="571">
        <f t="shared" si="75"/>
        <v>6.9999999999999999E-4</v>
      </c>
      <c r="BB52" s="571">
        <f t="shared" si="76"/>
        <v>8.0000000000000004E-4</v>
      </c>
      <c r="BC52" s="571">
        <f t="shared" si="77"/>
        <v>8.9999999999999998E-4</v>
      </c>
      <c r="BD52" s="571">
        <f t="shared" si="78"/>
        <v>1E-3</v>
      </c>
      <c r="BE52" s="569"/>
      <c r="BF52" s="569"/>
      <c r="BG52" s="569"/>
      <c r="BH52" s="569"/>
      <c r="BI52" s="377">
        <f t="shared" si="79"/>
        <v>8</v>
      </c>
      <c r="BJ52" s="377" t="e">
        <f t="shared" si="80"/>
        <v>#VALUE!</v>
      </c>
      <c r="BK52" s="377" t="e">
        <f t="shared" si="81"/>
        <v>#VALUE!</v>
      </c>
      <c r="BL52" s="377" t="e">
        <f t="shared" si="82"/>
        <v>#VALUE!</v>
      </c>
      <c r="BM52" s="377" t="e">
        <f t="shared" si="83"/>
        <v>#VALUE!</v>
      </c>
      <c r="BN52" s="377" t="e">
        <f t="shared" si="84"/>
        <v>#VALUE!</v>
      </c>
      <c r="BO52" s="377" t="e">
        <f t="shared" si="85"/>
        <v>#VALUE!</v>
      </c>
      <c r="BP52" s="377" t="e">
        <f t="shared" si="86"/>
        <v>#VALUE!</v>
      </c>
      <c r="BQ52" s="377" t="e">
        <f t="shared" si="87"/>
        <v>#VALUE!</v>
      </c>
      <c r="BR52" s="377" t="e">
        <f t="shared" si="88"/>
        <v>#VALUE!</v>
      </c>
    </row>
    <row r="53" spans="1:70" ht="12.75" customHeight="1" x14ac:dyDescent="0.2">
      <c r="A53" s="484">
        <f t="shared" si="45"/>
        <v>32</v>
      </c>
      <c r="B53" s="485">
        <f t="shared" si="46"/>
        <v>47</v>
      </c>
      <c r="C53" s="486">
        <f t="shared" si="47"/>
        <v>18</v>
      </c>
      <c r="D53" s="487">
        <f t="shared" si="48"/>
        <v>47</v>
      </c>
      <c r="E53" s="488">
        <f t="shared" si="49"/>
        <v>37</v>
      </c>
      <c r="F53" s="489">
        <f t="shared" si="50"/>
        <v>47</v>
      </c>
      <c r="G53" s="490" t="str">
        <f t="shared" si="51"/>
        <v/>
      </c>
      <c r="H53" s="489">
        <f t="shared" si="52"/>
        <v>-953</v>
      </c>
      <c r="I53" s="491" t="str">
        <f t="shared" si="53"/>
        <v/>
      </c>
      <c r="J53" s="554">
        <f t="shared" si="54"/>
        <v>-953</v>
      </c>
      <c r="K53" s="526">
        <f t="shared" si="55"/>
        <v>47</v>
      </c>
      <c r="L53" s="555" t="s">
        <v>239</v>
      </c>
      <c r="M53" s="556"/>
      <c r="N53" s="557" t="str">
        <f>IF(M53="","m","")</f>
        <v>m</v>
      </c>
      <c r="O53" s="558"/>
      <c r="P53" s="559" t="s">
        <v>269</v>
      </c>
      <c r="Q53" s="560" t="s">
        <v>148</v>
      </c>
      <c r="R53" s="539">
        <f>(IF(COUNT(Z53,AA53,AB53,AC53,AD53,AE53,AF53,AG53,AH53,AI53)&lt;10,SUM(Z53,AA53,AB53,AC53,AD53,AE53,AF53,AG53,AH53,AI53),SUM(LARGE((Z53,AA53,AB53,AC53,AD53,AE53,AF53,AG53,AH53,AI53),{1;2;3;4;5;6;7;8;9}))))</f>
        <v>12</v>
      </c>
      <c r="S53" s="561" t="str">
        <f>INDEX([1]ETAPP!B$1:B$32,MATCH(COUNTIF(BI53:BR53,1),[1]ETAPP!A$1:A$32,0))&amp;INDEX([1]ETAPP!B$1:B$32,MATCH(COUNTIF(BI53:BR53,2),[1]ETAPP!A$1:A$32,0))&amp;INDEX([1]ETAPP!B$1:B$32,MATCH(COUNTIF(BI53:BR53,3),[1]ETAPP!A$1:A$32,0))&amp;INDEX([1]ETAPP!B$1:B$32,MATCH(COUNTIF(BI53:BR53,4),[1]ETAPP!A$1:A$32,0))&amp;INDEX([1]ETAPP!B$1:B$32,MATCH(COUNTIF(BI53:BR53,5),[1]ETAPP!A$1:A$32,0))&amp;INDEX([1]ETAPP!B$1:B$32,MATCH(COUNTIF(BI53:BR53,6),[1]ETAPP!A$1:A$32,0))&amp;INDEX([1]ETAPP!B$1:B$32,MATCH(COUNTIF(BI53:BR53,7),[1]ETAPP!A$1:A$32,0))&amp;INDEX([1]ETAPP!B$1:B$32,MATCH(COUNTIF(BI53:BR53,8),[1]ETAPP!A$1:A$32,0))&amp;INDEX([1]ETAPP!B$1:B$32,MATCH(COUNTIF(BI53:BR53,9),[1]ETAPP!A$1:A$32,0))&amp;INDEX([1]ETAPP!B$1:B$32,MATCH(COUNTIF(BI53:BR53,10),[1]ETAPP!A$1:A$32,0))&amp;INDEX([1]ETAPP!B$1:B$32,MATCH(COUNTIF(BI53:BR53,11),[1]ETAPP!A$1:A$32,0))&amp;INDEX([1]ETAPP!B$1:B$32,MATCH(COUNTIF(BI53:BR53,12),[1]ETAPP!A$1:A$32,0))&amp;INDEX([1]ETAPP!B$1:B$32,MATCH(COUNTIF(BI53:BR53,13),[1]ETAPP!A$1:A$32,0))&amp;INDEX([1]ETAPP!B$1:B$32,MATCH(COUNTIF(BI53:BR53,14),[1]ETAPP!A$1:A$32,0))&amp;INDEX([1]ETAPP!B$1:B$32,MATCH(COUNTIF(BI53:BR53,15),[1]ETAPP!A$1:A$32,0))&amp;INDEX([1]ETAPP!B$1:B$32,MATCH(COUNTIF(BI53:BR53,16),[1]ETAPP!A$1:A$32,0))&amp;INDEX([1]ETAPP!B$1:B$32,MATCH(COUNTIF(BI53:BR53,17),[1]ETAPP!A$1:A$32,0))&amp;INDEX([1]ETAPP!B$1:B$32,MATCH(COUNTIF(BI53:BR53,18),[1]ETAPP!A$1:A$32,0))&amp;INDEX([1]ETAPP!B$1:B$32,MATCH(COUNTIF(BI53:BR53,19),[1]ETAPP!A$1:A$32,0))&amp;INDEX([1]ETAPP!B$1:B$32,MATCH(COUNTIF(BI53:BR53,20),[1]ETAPP!A$1:A$32,0))&amp;INDEX([1]ETAPP!B$1:B$32,MATCH(COUNTIF(BI53:BR53,21),[1]ETAPP!A$1:A$32,0))</f>
        <v>000000000A00000000000</v>
      </c>
      <c r="T53" s="561" t="str">
        <f t="shared" si="56"/>
        <v>012,0-000000000A00000000000</v>
      </c>
      <c r="U53" s="561">
        <f t="shared" si="57"/>
        <v>47</v>
      </c>
      <c r="V53" s="561">
        <f t="shared" si="58"/>
        <v>36</v>
      </c>
      <c r="W53" s="561" t="str">
        <f t="shared" si="59"/>
        <v>012,0-000000000A00000000000-036</v>
      </c>
      <c r="X53" s="561">
        <f t="shared" si="60"/>
        <v>47</v>
      </c>
      <c r="Y53" s="562">
        <f t="shared" si="61"/>
        <v>68</v>
      </c>
      <c r="Z53" s="563" t="str">
        <f>IFERROR(INDEX('V1'!C$300:C$400,MATCH("*"&amp;L53&amp;"*",'V1'!B$300:B$400,0)),"  ")</f>
        <v xml:space="preserve">  </v>
      </c>
      <c r="AA53" s="563">
        <f>IFERROR(INDEX('V2'!C$300:C$400,MATCH("*"&amp;L53&amp;"*",'V2'!B$300:B$400,0)),"  ")</f>
        <v>12</v>
      </c>
      <c r="AB53" s="563" t="str">
        <f>IFERROR(INDEX('V3'!C$300:C$400,MATCH("*"&amp;L53&amp;"*",'V3'!B$300:B$400,0)),"  ")</f>
        <v xml:space="preserve">  </v>
      </c>
      <c r="AC53" s="563" t="str">
        <f>IFERROR(INDEX('V4'!C$300:C$400,MATCH("*"&amp;L53&amp;"*",'V4'!B$300:B$400,0)),"  ")</f>
        <v xml:space="preserve">  </v>
      </c>
      <c r="AD53" s="563" t="str">
        <f>IFERROR(INDEX('V5'!C$300:C$400,MATCH("*"&amp;L53&amp;"*",'V5'!B$300:B$400,0)),"  ")</f>
        <v xml:space="preserve">  </v>
      </c>
      <c r="AE53" s="563" t="str">
        <f>IFERROR(INDEX('V6'!C$300:C$400,MATCH("*"&amp;L53&amp;"*",'V6'!B$300:B$400,0)),"  ")</f>
        <v xml:space="preserve">  </v>
      </c>
      <c r="AF53" s="563" t="str">
        <f>IFERROR(INDEX('V7'!C$300:C$400,MATCH("*"&amp;L53&amp;"*",'V7'!B$300:B$400,0)),"  ")</f>
        <v xml:space="preserve">  </v>
      </c>
      <c r="AG53" s="563" t="str">
        <f>IFERROR(INDEX('V8'!C$300:C$400,MATCH("*"&amp;L53&amp;"*",'V8'!B$300:B$400,0)),"  ")</f>
        <v xml:space="preserve">  </v>
      </c>
      <c r="AH53" s="563" t="str">
        <f>IFERROR(INDEX('V9'!C$300:C$400,MATCH("*"&amp;L53&amp;"*",'V9'!B$300:B$400,0)),"  ")</f>
        <v xml:space="preserve">  </v>
      </c>
      <c r="AI53" s="563" t="str">
        <f>IFERROR(INDEX('V10'!C$300:C$400,MATCH("*"&amp;L53&amp;"*",'V10'!B$300:B$400,0)),"  ")</f>
        <v xml:space="preserve">  </v>
      </c>
      <c r="AJ53" s="564" t="str">
        <f t="shared" si="62"/>
        <v/>
      </c>
      <c r="AK53" s="565">
        <f t="shared" si="63"/>
        <v>12</v>
      </c>
      <c r="AL53" s="566">
        <f t="shared" si="64"/>
        <v>47</v>
      </c>
      <c r="AM53" s="567" t="str">
        <f>IFERROR(INDEX(#REF!,MATCH("*"&amp;L53&amp;"*",#REF!,0)),"  ")</f>
        <v xml:space="preserve">  </v>
      </c>
      <c r="AN53" s="568">
        <f t="shared" si="65"/>
        <v>1</v>
      </c>
      <c r="AO53" s="469">
        <f t="shared" si="66"/>
        <v>0</v>
      </c>
      <c r="AP53" s="469">
        <f t="shared" si="67"/>
        <v>0</v>
      </c>
      <c r="AQ53" s="569"/>
      <c r="AR53" s="569"/>
      <c r="AS53" s="569"/>
      <c r="AT53" s="570">
        <f t="shared" si="68"/>
        <v>1E-4</v>
      </c>
      <c r="AU53" s="571">
        <f t="shared" si="69"/>
        <v>1E-4</v>
      </c>
      <c r="AV53" s="571">
        <f t="shared" si="70"/>
        <v>12.0002</v>
      </c>
      <c r="AW53" s="571">
        <f t="shared" si="71"/>
        <v>2.9999999999999997E-4</v>
      </c>
      <c r="AX53" s="571">
        <f t="shared" si="72"/>
        <v>4.0000000000000002E-4</v>
      </c>
      <c r="AY53" s="571">
        <f t="shared" si="73"/>
        <v>5.0000000000000001E-4</v>
      </c>
      <c r="AZ53" s="571">
        <f t="shared" si="74"/>
        <v>5.9999999999999995E-4</v>
      </c>
      <c r="BA53" s="571">
        <f t="shared" si="75"/>
        <v>6.9999999999999999E-4</v>
      </c>
      <c r="BB53" s="571">
        <f t="shared" si="76"/>
        <v>8.0000000000000004E-4</v>
      </c>
      <c r="BC53" s="571">
        <f t="shared" si="77"/>
        <v>8.9999999999999998E-4</v>
      </c>
      <c r="BD53" s="571">
        <f t="shared" si="78"/>
        <v>1E-3</v>
      </c>
      <c r="BE53" s="569"/>
      <c r="BF53" s="569"/>
      <c r="BG53" s="569"/>
      <c r="BH53" s="569"/>
      <c r="BI53" s="377" t="e">
        <f t="shared" si="79"/>
        <v>#VALUE!</v>
      </c>
      <c r="BJ53" s="377">
        <f t="shared" si="80"/>
        <v>10</v>
      </c>
      <c r="BK53" s="377" t="e">
        <f t="shared" si="81"/>
        <v>#VALUE!</v>
      </c>
      <c r="BL53" s="377" t="e">
        <f t="shared" si="82"/>
        <v>#VALUE!</v>
      </c>
      <c r="BM53" s="377" t="e">
        <f t="shared" si="83"/>
        <v>#VALUE!</v>
      </c>
      <c r="BN53" s="377" t="e">
        <f t="shared" si="84"/>
        <v>#VALUE!</v>
      </c>
      <c r="BO53" s="377" t="e">
        <f t="shared" si="85"/>
        <v>#VALUE!</v>
      </c>
      <c r="BP53" s="377" t="e">
        <f t="shared" si="86"/>
        <v>#VALUE!</v>
      </c>
      <c r="BQ53" s="377" t="e">
        <f t="shared" si="87"/>
        <v>#VALUE!</v>
      </c>
      <c r="BR53" s="377" t="e">
        <f t="shared" si="88"/>
        <v>#VALUE!</v>
      </c>
    </row>
    <row r="54" spans="1:70" ht="12.75" customHeight="1" x14ac:dyDescent="0.2">
      <c r="A54" s="484" t="str">
        <f t="shared" si="45"/>
        <v/>
      </c>
      <c r="B54" s="485">
        <f t="shared" si="46"/>
        <v>-952</v>
      </c>
      <c r="C54" s="486">
        <f t="shared" si="47"/>
        <v>19</v>
      </c>
      <c r="D54" s="487">
        <f t="shared" si="48"/>
        <v>48</v>
      </c>
      <c r="E54" s="488" t="str">
        <f t="shared" si="49"/>
        <v/>
      </c>
      <c r="F54" s="489">
        <f t="shared" si="50"/>
        <v>-952</v>
      </c>
      <c r="G54" s="490" t="str">
        <f t="shared" si="51"/>
        <v/>
      </c>
      <c r="H54" s="489">
        <f t="shared" si="52"/>
        <v>-952</v>
      </c>
      <c r="I54" s="491" t="str">
        <f t="shared" si="53"/>
        <v/>
      </c>
      <c r="J54" s="554">
        <f t="shared" si="54"/>
        <v>-952</v>
      </c>
      <c r="K54" s="526">
        <f t="shared" si="55"/>
        <v>48</v>
      </c>
      <c r="L54" s="555" t="s">
        <v>433</v>
      </c>
      <c r="M54" s="556"/>
      <c r="N54" s="557"/>
      <c r="O54" s="579"/>
      <c r="P54" s="559" t="s">
        <v>269</v>
      </c>
      <c r="Q54" s="560"/>
      <c r="R54" s="539">
        <f>(IF(COUNT(Z54,AA54,AB54,AC54,AD54,AE54,AF54,AG54,AH54,AI54)&lt;10,SUM(Z54,AA54,AB54,AC54,AD54,AE54,AF54,AG54,AH54,AI54),SUM(LARGE((Z54,AA54,AB54,AC54,AD54,AE54,AF54,AG54,AH54,AI54),{1;2;3;4;5;6;7;8;9}))))</f>
        <v>12</v>
      </c>
      <c r="S54" s="561" t="str">
        <f>INDEX([1]ETAPP!B$1:B$32,MATCH(COUNTIF(BI54:BR54,1),[1]ETAPP!A$1:A$32,0))&amp;INDEX([1]ETAPP!B$1:B$32,MATCH(COUNTIF(BI54:BR54,2),[1]ETAPP!A$1:A$32,0))&amp;INDEX([1]ETAPP!B$1:B$32,MATCH(COUNTIF(BI54:BR54,3),[1]ETAPP!A$1:A$32,0))&amp;INDEX([1]ETAPP!B$1:B$32,MATCH(COUNTIF(BI54:BR54,4),[1]ETAPP!A$1:A$32,0))&amp;INDEX([1]ETAPP!B$1:B$32,MATCH(COUNTIF(BI54:BR54,5),[1]ETAPP!A$1:A$32,0))&amp;INDEX([1]ETAPP!B$1:B$32,MATCH(COUNTIF(BI54:BR54,6),[1]ETAPP!A$1:A$32,0))&amp;INDEX([1]ETAPP!B$1:B$32,MATCH(COUNTIF(BI54:BR54,7),[1]ETAPP!A$1:A$32,0))&amp;INDEX([1]ETAPP!B$1:B$32,MATCH(COUNTIF(BI54:BR54,8),[1]ETAPP!A$1:A$32,0))&amp;INDEX([1]ETAPP!B$1:B$32,MATCH(COUNTIF(BI54:BR54,9),[1]ETAPP!A$1:A$32,0))&amp;INDEX([1]ETAPP!B$1:B$32,MATCH(COUNTIF(BI54:BR54,10),[1]ETAPP!A$1:A$32,0))&amp;INDEX([1]ETAPP!B$1:B$32,MATCH(COUNTIF(BI54:BR54,11),[1]ETAPP!A$1:A$32,0))&amp;INDEX([1]ETAPP!B$1:B$32,MATCH(COUNTIF(BI54:BR54,12),[1]ETAPP!A$1:A$32,0))&amp;INDEX([1]ETAPP!B$1:B$32,MATCH(COUNTIF(BI54:BR54,13),[1]ETAPP!A$1:A$32,0))&amp;INDEX([1]ETAPP!B$1:B$32,MATCH(COUNTIF(BI54:BR54,14),[1]ETAPP!A$1:A$32,0))&amp;INDEX([1]ETAPP!B$1:B$32,MATCH(COUNTIF(BI54:BR54,15),[1]ETAPP!A$1:A$32,0))&amp;INDEX([1]ETAPP!B$1:B$32,MATCH(COUNTIF(BI54:BR54,16),[1]ETAPP!A$1:A$32,0))&amp;INDEX([1]ETAPP!B$1:B$32,MATCH(COUNTIF(BI54:BR54,17),[1]ETAPP!A$1:A$32,0))&amp;INDEX([1]ETAPP!B$1:B$32,MATCH(COUNTIF(BI54:BR54,18),[1]ETAPP!A$1:A$32,0))&amp;INDEX([1]ETAPP!B$1:B$32,MATCH(COUNTIF(BI54:BR54,19),[1]ETAPP!A$1:A$32,0))&amp;INDEX([1]ETAPP!B$1:B$32,MATCH(COUNTIF(BI54:BR54,20),[1]ETAPP!A$1:A$32,0))&amp;INDEX([1]ETAPP!B$1:B$32,MATCH(COUNTIF(BI54:BR54,21),[1]ETAPP!A$1:A$32,0))</f>
        <v>0000000000000BA0A0000</v>
      </c>
      <c r="T54" s="561" t="str">
        <f t="shared" si="56"/>
        <v>012,0-0000000000000BA0A0000</v>
      </c>
      <c r="U54" s="561">
        <f t="shared" si="57"/>
        <v>48</v>
      </c>
      <c r="V54" s="561">
        <f t="shared" si="58"/>
        <v>71</v>
      </c>
      <c r="W54" s="561" t="str">
        <f t="shared" si="59"/>
        <v>012,0-0000000000000BA0A0000-071</v>
      </c>
      <c r="X54" s="561">
        <f t="shared" si="60"/>
        <v>48</v>
      </c>
      <c r="Y54" s="562">
        <f t="shared" si="61"/>
        <v>67</v>
      </c>
      <c r="Z54" s="563" t="str">
        <f>IFERROR(INDEX('V1'!C$300:C$400,MATCH("*"&amp;L54&amp;"*",'V1'!B$300:B$400,0)),"  ")</f>
        <v xml:space="preserve">  </v>
      </c>
      <c r="AA54" s="563" t="str">
        <f>IFERROR(INDEX('V2'!C$300:C$400,MATCH("*"&amp;L54&amp;"*",'V2'!B$300:B$400,0)),"  ")</f>
        <v xml:space="preserve">  </v>
      </c>
      <c r="AB54" s="563" t="str">
        <f>IFERROR(INDEX('V3'!C$300:C$400,MATCH("*"&amp;L54&amp;"*",'V3'!B$300:B$400,0)),"  ")</f>
        <v xml:space="preserve">  </v>
      </c>
      <c r="AC54" s="563">
        <f>IFERROR(INDEX('V4'!C$300:C$400,MATCH("*"&amp;L54&amp;"*",'V4'!B$300:B$400,0)),"  ")</f>
        <v>2</v>
      </c>
      <c r="AD54" s="563">
        <f>IFERROR(INDEX('V5'!C$300:C$400,MATCH("*"&amp;L54&amp;"*",'V5'!B$300:B$400,0)),"  ")</f>
        <v>4</v>
      </c>
      <c r="AE54" s="563">
        <f>IFERROR(INDEX('V6'!C$300:C$400,MATCH("*"&amp;L54&amp;"*",'V6'!B$300:B$400,0)),"  ")</f>
        <v>4</v>
      </c>
      <c r="AF54" s="563" t="str">
        <f>IFERROR(INDEX('V7'!C$300:C$400,MATCH("*"&amp;L54&amp;"*",'V7'!B$300:B$400,0)),"  ")</f>
        <v xml:space="preserve">  </v>
      </c>
      <c r="AG54" s="563" t="str">
        <f>IFERROR(INDEX('V8'!C$300:C$400,MATCH("*"&amp;L54&amp;"*",'V8'!B$300:B$400,0)),"  ")</f>
        <v xml:space="preserve">  </v>
      </c>
      <c r="AH54" s="563">
        <f>IFERROR(INDEX('V9'!C$300:C$400,MATCH("*"&amp;L54&amp;"*",'V9'!B$300:B$400,0)),"  ")</f>
        <v>2</v>
      </c>
      <c r="AI54" s="563" t="str">
        <f>IFERROR(INDEX('V10'!C$300:C$400,MATCH("*"&amp;L54&amp;"*",'V10'!B$300:B$400,0)),"  ")</f>
        <v xml:space="preserve">  </v>
      </c>
      <c r="AJ54" s="564">
        <f t="shared" si="62"/>
        <v>48</v>
      </c>
      <c r="AK54" s="565">
        <f t="shared" si="63"/>
        <v>12</v>
      </c>
      <c r="AL54" s="566" t="str">
        <f t="shared" si="64"/>
        <v>edasi 36</v>
      </c>
      <c r="AM54" s="567" t="str">
        <f>IFERROR(INDEX(#REF!,MATCH("*"&amp;L54&amp;"*",#REF!,0)),"  ")</f>
        <v xml:space="preserve">  </v>
      </c>
      <c r="AN54" s="568">
        <f t="shared" si="65"/>
        <v>4</v>
      </c>
      <c r="AO54" s="469">
        <f t="shared" si="66"/>
        <v>0</v>
      </c>
      <c r="AP54" s="469">
        <f t="shared" si="67"/>
        <v>0</v>
      </c>
      <c r="AQ54" s="569"/>
      <c r="AR54" s="569"/>
      <c r="AS54" s="569"/>
      <c r="AT54" s="570">
        <f t="shared" si="68"/>
        <v>1E-4</v>
      </c>
      <c r="AU54" s="571">
        <f t="shared" si="69"/>
        <v>1E-4</v>
      </c>
      <c r="AV54" s="571">
        <f t="shared" si="70"/>
        <v>2.0000000000000001E-4</v>
      </c>
      <c r="AW54" s="571">
        <f t="shared" si="71"/>
        <v>2.9999999999999997E-4</v>
      </c>
      <c r="AX54" s="571">
        <f t="shared" si="72"/>
        <v>2.0004</v>
      </c>
      <c r="AY54" s="571">
        <f t="shared" si="73"/>
        <v>4.0004999999999997</v>
      </c>
      <c r="AZ54" s="571">
        <f t="shared" si="74"/>
        <v>4.0006000000000004</v>
      </c>
      <c r="BA54" s="571">
        <f t="shared" si="75"/>
        <v>6.9999999999999999E-4</v>
      </c>
      <c r="BB54" s="571">
        <f t="shared" si="76"/>
        <v>8.0000000000000004E-4</v>
      </c>
      <c r="BC54" s="571">
        <f t="shared" si="77"/>
        <v>2.0009000000000001</v>
      </c>
      <c r="BD54" s="571">
        <f t="shared" si="78"/>
        <v>1E-3</v>
      </c>
      <c r="BE54" s="569"/>
      <c r="BF54" s="569"/>
      <c r="BG54" s="569"/>
      <c r="BH54" s="569"/>
      <c r="BI54" s="377" t="e">
        <f t="shared" si="79"/>
        <v>#VALUE!</v>
      </c>
      <c r="BJ54" s="377" t="e">
        <f t="shared" si="80"/>
        <v>#VALUE!</v>
      </c>
      <c r="BK54" s="377" t="e">
        <f t="shared" si="81"/>
        <v>#VALUE!</v>
      </c>
      <c r="BL54" s="377">
        <f t="shared" si="82"/>
        <v>14</v>
      </c>
      <c r="BM54" s="377">
        <f t="shared" si="83"/>
        <v>17</v>
      </c>
      <c r="BN54" s="377">
        <f t="shared" si="84"/>
        <v>15</v>
      </c>
      <c r="BO54" s="377" t="e">
        <f t="shared" si="85"/>
        <v>#VALUE!</v>
      </c>
      <c r="BP54" s="377" t="e">
        <f t="shared" si="86"/>
        <v>#VALUE!</v>
      </c>
      <c r="BQ54" s="377">
        <f t="shared" si="87"/>
        <v>14</v>
      </c>
      <c r="BR54" s="377" t="e">
        <f t="shared" si="88"/>
        <v>#VALUE!</v>
      </c>
    </row>
    <row r="55" spans="1:70" ht="12.75" customHeight="1" x14ac:dyDescent="0.2">
      <c r="A55" s="484" t="str">
        <f t="shared" si="45"/>
        <v/>
      </c>
      <c r="B55" s="485">
        <f t="shared" si="46"/>
        <v>-951</v>
      </c>
      <c r="C55" s="486" t="str">
        <f t="shared" si="47"/>
        <v/>
      </c>
      <c r="D55" s="487">
        <f t="shared" si="48"/>
        <v>-951</v>
      </c>
      <c r="E55" s="488">
        <f t="shared" si="49"/>
        <v>38</v>
      </c>
      <c r="F55" s="489">
        <f t="shared" si="50"/>
        <v>49</v>
      </c>
      <c r="G55" s="490" t="str">
        <f t="shared" si="51"/>
        <v/>
      </c>
      <c r="H55" s="489">
        <f t="shared" si="52"/>
        <v>-951</v>
      </c>
      <c r="I55" s="491" t="str">
        <f t="shared" si="53"/>
        <v/>
      </c>
      <c r="J55" s="554">
        <f t="shared" si="54"/>
        <v>-951</v>
      </c>
      <c r="K55" s="526">
        <f t="shared" si="55"/>
        <v>49</v>
      </c>
      <c r="L55" s="555" t="s">
        <v>238</v>
      </c>
      <c r="M55" s="556"/>
      <c r="N55" s="557" t="str">
        <f>IF(M55="","m","")</f>
        <v>m</v>
      </c>
      <c r="O55" s="558"/>
      <c r="P55" s="559"/>
      <c r="Q55" s="560" t="s">
        <v>270</v>
      </c>
      <c r="R55" s="539">
        <f>(IF(COUNT(Z55,AA55,AB55,AC55,AD55,AE55,AF55,AG55,AH55,AI55)&lt;10,SUM(Z55,AA55,AB55,AC55,AD55,AE55,AF55,AG55,AH55,AI55),SUM(LARGE((Z55,AA55,AB55,AC55,AD55,AE55,AF55,AG55,AH55,AI55),{1;2;3;4;5;6;7;8;9}))))</f>
        <v>10</v>
      </c>
      <c r="S55" s="561" t="str">
        <f>INDEX([1]ETAPP!B$1:B$32,MATCH(COUNTIF(BI55:BR55,1),[1]ETAPP!A$1:A$32,0))&amp;INDEX([1]ETAPP!B$1:B$32,MATCH(COUNTIF(BI55:BR55,2),[1]ETAPP!A$1:A$32,0))&amp;INDEX([1]ETAPP!B$1:B$32,MATCH(COUNTIF(BI55:BR55,3),[1]ETAPP!A$1:A$32,0))&amp;INDEX([1]ETAPP!B$1:B$32,MATCH(COUNTIF(BI55:BR55,4),[1]ETAPP!A$1:A$32,0))&amp;INDEX([1]ETAPP!B$1:B$32,MATCH(COUNTIF(BI55:BR55,5),[1]ETAPP!A$1:A$32,0))&amp;INDEX([1]ETAPP!B$1:B$32,MATCH(COUNTIF(BI55:BR55,6),[1]ETAPP!A$1:A$32,0))&amp;INDEX([1]ETAPP!B$1:B$32,MATCH(COUNTIF(BI55:BR55,7),[1]ETAPP!A$1:A$32,0))&amp;INDEX([1]ETAPP!B$1:B$32,MATCH(COUNTIF(BI55:BR55,8),[1]ETAPP!A$1:A$32,0))&amp;INDEX([1]ETAPP!B$1:B$32,MATCH(COUNTIF(BI55:BR55,9),[1]ETAPP!A$1:A$32,0))&amp;INDEX([1]ETAPP!B$1:B$32,MATCH(COUNTIF(BI55:BR55,10),[1]ETAPP!A$1:A$32,0))&amp;INDEX([1]ETAPP!B$1:B$32,MATCH(COUNTIF(BI55:BR55,11),[1]ETAPP!A$1:A$32,0))&amp;INDEX([1]ETAPP!B$1:B$32,MATCH(COUNTIF(BI55:BR55,12),[1]ETAPP!A$1:A$32,0))&amp;INDEX([1]ETAPP!B$1:B$32,MATCH(COUNTIF(BI55:BR55,13),[1]ETAPP!A$1:A$32,0))&amp;INDEX([1]ETAPP!B$1:B$32,MATCH(COUNTIF(BI55:BR55,14),[1]ETAPP!A$1:A$32,0))&amp;INDEX([1]ETAPP!B$1:B$32,MATCH(COUNTIF(BI55:BR55,15),[1]ETAPP!A$1:A$32,0))&amp;INDEX([1]ETAPP!B$1:B$32,MATCH(COUNTIF(BI55:BR55,16),[1]ETAPP!A$1:A$32,0))&amp;INDEX([1]ETAPP!B$1:B$32,MATCH(COUNTIF(BI55:BR55,17),[1]ETAPP!A$1:A$32,0))&amp;INDEX([1]ETAPP!B$1:B$32,MATCH(COUNTIF(BI55:BR55,18),[1]ETAPP!A$1:A$32,0))&amp;INDEX([1]ETAPP!B$1:B$32,MATCH(COUNTIF(BI55:BR55,19),[1]ETAPP!A$1:A$32,0))&amp;INDEX([1]ETAPP!B$1:B$32,MATCH(COUNTIF(BI55:BR55,20),[1]ETAPP!A$1:A$32,0))&amp;INDEX([1]ETAPP!B$1:B$32,MATCH(COUNTIF(BI55:BR55,21),[1]ETAPP!A$1:A$32,0))</f>
        <v>0000000000A0000000000</v>
      </c>
      <c r="T55" s="561" t="str">
        <f t="shared" si="56"/>
        <v>010,0-0000000000A0000000000</v>
      </c>
      <c r="U55" s="561">
        <f t="shared" si="57"/>
        <v>49</v>
      </c>
      <c r="V55" s="561">
        <f t="shared" si="58"/>
        <v>38</v>
      </c>
      <c r="W55" s="561" t="str">
        <f t="shared" si="59"/>
        <v>010,0-0000000000A0000000000-038</v>
      </c>
      <c r="X55" s="561">
        <f t="shared" si="60"/>
        <v>49</v>
      </c>
      <c r="Y55" s="562">
        <f t="shared" si="61"/>
        <v>66</v>
      </c>
      <c r="Z55" s="563" t="str">
        <f>IFERROR(INDEX('V1'!C$300:C$400,MATCH("*"&amp;L55&amp;"*",'V1'!B$300:B$400,0)),"  ")</f>
        <v xml:space="preserve">  </v>
      </c>
      <c r="AA55" s="563">
        <f>IFERROR(INDEX('V2'!C$300:C$400,MATCH("*"&amp;L55&amp;"*",'V2'!B$300:B$400,0)),"  ")</f>
        <v>10</v>
      </c>
      <c r="AB55" s="563" t="str">
        <f>IFERROR(INDEX('V3'!C$300:C$400,MATCH("*"&amp;L55&amp;"*",'V3'!B$300:B$400,0)),"  ")</f>
        <v xml:space="preserve">  </v>
      </c>
      <c r="AC55" s="563" t="str">
        <f>IFERROR(INDEX('V4'!C$300:C$400,MATCH("*"&amp;L55&amp;"*",'V4'!B$300:B$400,0)),"  ")</f>
        <v xml:space="preserve">  </v>
      </c>
      <c r="AD55" s="563" t="str">
        <f>IFERROR(INDEX('V5'!C$300:C$400,MATCH("*"&amp;L55&amp;"*",'V5'!B$300:B$400,0)),"  ")</f>
        <v xml:space="preserve">  </v>
      </c>
      <c r="AE55" s="563" t="str">
        <f>IFERROR(INDEX('V6'!C$300:C$400,MATCH("*"&amp;L55&amp;"*",'V6'!B$300:B$400,0)),"  ")</f>
        <v xml:space="preserve">  </v>
      </c>
      <c r="AF55" s="563" t="str">
        <f>IFERROR(INDEX('V7'!C$300:C$400,MATCH("*"&amp;L55&amp;"*",'V7'!B$300:B$400,0)),"  ")</f>
        <v xml:space="preserve">  </v>
      </c>
      <c r="AG55" s="563" t="str">
        <f>IFERROR(INDEX('V8'!C$300:C$400,MATCH("*"&amp;L55&amp;"*",'V8'!B$300:B$400,0)),"  ")</f>
        <v xml:space="preserve">  </v>
      </c>
      <c r="AH55" s="563" t="str">
        <f>IFERROR(INDEX('V9'!C$300:C$400,MATCH("*"&amp;L55&amp;"*",'V9'!B$300:B$400,0)),"  ")</f>
        <v xml:space="preserve">  </v>
      </c>
      <c r="AI55" s="563" t="str">
        <f>IFERROR(INDEX('V10'!C$300:C$400,MATCH("*"&amp;L55&amp;"*",'V10'!B$300:B$400,0)),"  ")</f>
        <v xml:space="preserve">  </v>
      </c>
      <c r="AJ55" s="564" t="str">
        <f t="shared" si="62"/>
        <v/>
      </c>
      <c r="AK55" s="565">
        <f t="shared" si="63"/>
        <v>10</v>
      </c>
      <c r="AL55" s="566">
        <f t="shared" si="64"/>
        <v>49</v>
      </c>
      <c r="AM55" s="567" t="str">
        <f>IFERROR(INDEX(#REF!,MATCH("*"&amp;L55&amp;"*",#REF!,0)),"  ")</f>
        <v xml:space="preserve">  </v>
      </c>
      <c r="AN55" s="568">
        <f t="shared" si="65"/>
        <v>1</v>
      </c>
      <c r="AO55" s="469">
        <f t="shared" si="66"/>
        <v>0</v>
      </c>
      <c r="AP55" s="469">
        <f t="shared" si="67"/>
        <v>0</v>
      </c>
      <c r="AQ55" s="569"/>
      <c r="AR55" s="569"/>
      <c r="AS55" s="569"/>
      <c r="AT55" s="570">
        <f t="shared" si="68"/>
        <v>1E-4</v>
      </c>
      <c r="AU55" s="571">
        <f t="shared" si="69"/>
        <v>1E-4</v>
      </c>
      <c r="AV55" s="571">
        <f t="shared" si="70"/>
        <v>10.0002</v>
      </c>
      <c r="AW55" s="571">
        <f t="shared" si="71"/>
        <v>2.9999999999999997E-4</v>
      </c>
      <c r="AX55" s="571">
        <f t="shared" si="72"/>
        <v>4.0000000000000002E-4</v>
      </c>
      <c r="AY55" s="571">
        <f t="shared" si="73"/>
        <v>5.0000000000000001E-4</v>
      </c>
      <c r="AZ55" s="571">
        <f t="shared" si="74"/>
        <v>5.9999999999999995E-4</v>
      </c>
      <c r="BA55" s="571">
        <f t="shared" si="75"/>
        <v>6.9999999999999999E-4</v>
      </c>
      <c r="BB55" s="571">
        <f t="shared" si="76"/>
        <v>8.0000000000000004E-4</v>
      </c>
      <c r="BC55" s="571">
        <f t="shared" si="77"/>
        <v>8.9999999999999998E-4</v>
      </c>
      <c r="BD55" s="571">
        <f t="shared" si="78"/>
        <v>1E-3</v>
      </c>
      <c r="BE55" s="569"/>
      <c r="BF55" s="569"/>
      <c r="BG55" s="569"/>
      <c r="BH55" s="569"/>
      <c r="BI55" s="377" t="e">
        <f t="shared" si="79"/>
        <v>#VALUE!</v>
      </c>
      <c r="BJ55" s="377">
        <f t="shared" si="80"/>
        <v>11</v>
      </c>
      <c r="BK55" s="377" t="e">
        <f t="shared" si="81"/>
        <v>#VALUE!</v>
      </c>
      <c r="BL55" s="377" t="e">
        <f t="shared" si="82"/>
        <v>#VALUE!</v>
      </c>
      <c r="BM55" s="377" t="e">
        <f t="shared" si="83"/>
        <v>#VALUE!</v>
      </c>
      <c r="BN55" s="377" t="e">
        <f t="shared" si="84"/>
        <v>#VALUE!</v>
      </c>
      <c r="BO55" s="377" t="e">
        <f t="shared" si="85"/>
        <v>#VALUE!</v>
      </c>
      <c r="BP55" s="377" t="e">
        <f t="shared" si="86"/>
        <v>#VALUE!</v>
      </c>
      <c r="BQ55" s="377" t="e">
        <f t="shared" si="87"/>
        <v>#VALUE!</v>
      </c>
      <c r="BR55" s="377" t="e">
        <f t="shared" si="88"/>
        <v>#VALUE!</v>
      </c>
    </row>
    <row r="56" spans="1:70" ht="12.75" customHeight="1" x14ac:dyDescent="0.2">
      <c r="A56" s="484">
        <f t="shared" si="45"/>
        <v>33</v>
      </c>
      <c r="B56" s="485">
        <f t="shared" si="46"/>
        <v>50</v>
      </c>
      <c r="C56" s="486">
        <f t="shared" si="47"/>
        <v>20</v>
      </c>
      <c r="D56" s="487">
        <f t="shared" si="48"/>
        <v>50</v>
      </c>
      <c r="E56" s="488">
        <f t="shared" si="49"/>
        <v>39</v>
      </c>
      <c r="F56" s="489">
        <f t="shared" si="50"/>
        <v>50</v>
      </c>
      <c r="G56" s="490" t="str">
        <f t="shared" si="51"/>
        <v/>
      </c>
      <c r="H56" s="489">
        <f t="shared" si="52"/>
        <v>-950</v>
      </c>
      <c r="I56" s="491" t="str">
        <f t="shared" si="53"/>
        <v/>
      </c>
      <c r="J56" s="554">
        <f t="shared" si="54"/>
        <v>-950</v>
      </c>
      <c r="K56" s="526">
        <f t="shared" si="55"/>
        <v>50</v>
      </c>
      <c r="L56" s="585" t="s">
        <v>204</v>
      </c>
      <c r="M56" s="556"/>
      <c r="N56" s="557" t="str">
        <f>IF(M56="","m","")</f>
        <v>m</v>
      </c>
      <c r="O56" s="558"/>
      <c r="P56" s="559" t="s">
        <v>269</v>
      </c>
      <c r="Q56" s="560" t="s">
        <v>148</v>
      </c>
      <c r="R56" s="539">
        <f>(IF(COUNT(Z56,AA56,AB56,AC56,AD56,AE56,AF56,AG56,AH56,AI56)&lt;10,SUM(Z56,AA56,AB56,AC56,AD56,AE56,AF56,AG56,AH56,AI56),SUM(LARGE((Z56,AA56,AB56,AC56,AD56,AE56,AF56,AG56,AH56,AI56),{1;2;3;4;5;6;7;8;9}))))</f>
        <v>10</v>
      </c>
      <c r="S56" s="561" t="str">
        <f>INDEX([1]ETAPP!B$1:B$32,MATCH(COUNTIF(BI56:BR56,1),[1]ETAPP!A$1:A$32,0))&amp;INDEX([1]ETAPP!B$1:B$32,MATCH(COUNTIF(BI56:BR56,2),[1]ETAPP!A$1:A$32,0))&amp;INDEX([1]ETAPP!B$1:B$32,MATCH(COUNTIF(BI56:BR56,3),[1]ETAPP!A$1:A$32,0))&amp;INDEX([1]ETAPP!B$1:B$32,MATCH(COUNTIF(BI56:BR56,4),[1]ETAPP!A$1:A$32,0))&amp;INDEX([1]ETAPP!B$1:B$32,MATCH(COUNTIF(BI56:BR56,5),[1]ETAPP!A$1:A$32,0))&amp;INDEX([1]ETAPP!B$1:B$32,MATCH(COUNTIF(BI56:BR56,6),[1]ETAPP!A$1:A$32,0))&amp;INDEX([1]ETAPP!B$1:B$32,MATCH(COUNTIF(BI56:BR56,7),[1]ETAPP!A$1:A$32,0))&amp;INDEX([1]ETAPP!B$1:B$32,MATCH(COUNTIF(BI56:BR56,8),[1]ETAPP!A$1:A$32,0))&amp;INDEX([1]ETAPP!B$1:B$32,MATCH(COUNTIF(BI56:BR56,9),[1]ETAPP!A$1:A$32,0))&amp;INDEX([1]ETAPP!B$1:B$32,MATCH(COUNTIF(BI56:BR56,10),[1]ETAPP!A$1:A$32,0))&amp;INDEX([1]ETAPP!B$1:B$32,MATCH(COUNTIF(BI56:BR56,11),[1]ETAPP!A$1:A$32,0))&amp;INDEX([1]ETAPP!B$1:B$32,MATCH(COUNTIF(BI56:BR56,12),[1]ETAPP!A$1:A$32,0))&amp;INDEX([1]ETAPP!B$1:B$32,MATCH(COUNTIF(BI56:BR56,13),[1]ETAPP!A$1:A$32,0))&amp;INDEX([1]ETAPP!B$1:B$32,MATCH(COUNTIF(BI56:BR56,14),[1]ETAPP!A$1:A$32,0))&amp;INDEX([1]ETAPP!B$1:B$32,MATCH(COUNTIF(BI56:BR56,15),[1]ETAPP!A$1:A$32,0))&amp;INDEX([1]ETAPP!B$1:B$32,MATCH(COUNTIF(BI56:BR56,16),[1]ETAPP!A$1:A$32,0))&amp;INDEX([1]ETAPP!B$1:B$32,MATCH(COUNTIF(BI56:BR56,17),[1]ETAPP!A$1:A$32,0))&amp;INDEX([1]ETAPP!B$1:B$32,MATCH(COUNTIF(BI56:BR56,18),[1]ETAPP!A$1:A$32,0))&amp;INDEX([1]ETAPP!B$1:B$32,MATCH(COUNTIF(BI56:BR56,19),[1]ETAPP!A$1:A$32,0))&amp;INDEX([1]ETAPP!B$1:B$32,MATCH(COUNTIF(BI56:BR56,20),[1]ETAPP!A$1:A$32,0))&amp;INDEX([1]ETAPP!B$1:B$32,MATCH(COUNTIF(BI56:BR56,21),[1]ETAPP!A$1:A$32,0))</f>
        <v>0000000000000AA0A0000</v>
      </c>
      <c r="T56" s="561" t="str">
        <f t="shared" si="56"/>
        <v>010,0-0000000000000AA0A0000</v>
      </c>
      <c r="U56" s="561">
        <f t="shared" si="57"/>
        <v>50</v>
      </c>
      <c r="V56" s="561">
        <f t="shared" si="58"/>
        <v>82</v>
      </c>
      <c r="W56" s="561" t="str">
        <f t="shared" si="59"/>
        <v>010,0-0000000000000AA0A0000-082</v>
      </c>
      <c r="X56" s="561">
        <f t="shared" si="60"/>
        <v>50</v>
      </c>
      <c r="Y56" s="562">
        <f t="shared" si="61"/>
        <v>65</v>
      </c>
      <c r="Z56" s="563" t="str">
        <f>IFERROR(INDEX('V1'!C$300:C$400,MATCH("*"&amp;L56&amp;"*",'V1'!B$300:B$400,0)),"  ")</f>
        <v xml:space="preserve">  </v>
      </c>
      <c r="AA56" s="563" t="str">
        <f>IFERROR(INDEX('V2'!C$300:C$400,MATCH("*"&amp;L56&amp;"*",'V2'!B$300:B$400,0)),"  ")</f>
        <v xml:space="preserve">  </v>
      </c>
      <c r="AB56" s="563" t="str">
        <f>IFERROR(INDEX('V3'!C$300:C$400,MATCH("*"&amp;L56&amp;"*",'V3'!B$300:B$400,0)),"  ")</f>
        <v xml:space="preserve">  </v>
      </c>
      <c r="AC56" s="563">
        <f>IFERROR(INDEX('V4'!C$300:C$400,MATCH("*"&amp;L56&amp;"*",'V4'!B$300:B$400,0)),"  ")</f>
        <v>2</v>
      </c>
      <c r="AD56" s="563">
        <f>IFERROR(INDEX('V5'!C$300:C$400,MATCH("*"&amp;L56&amp;"*",'V5'!B$300:B$400,0)),"  ")</f>
        <v>4</v>
      </c>
      <c r="AE56" s="563">
        <f>IFERROR(INDEX('V6'!C$300:C$400,MATCH("*"&amp;L56&amp;"*",'V6'!B$300:B$400,0)),"  ")</f>
        <v>4</v>
      </c>
      <c r="AF56" s="563" t="str">
        <f>IFERROR(INDEX('V7'!C$300:C$400,MATCH("*"&amp;L56&amp;"*",'V7'!B$300:B$400,0)),"  ")</f>
        <v xml:space="preserve">  </v>
      </c>
      <c r="AG56" s="563" t="str">
        <f>IFERROR(INDEX('V8'!C$300:C$400,MATCH("*"&amp;L56&amp;"*",'V8'!B$300:B$400,0)),"  ")</f>
        <v xml:space="preserve">  </v>
      </c>
      <c r="AH56" s="563" t="str">
        <f>IFERROR(INDEX('V9'!C$300:C$400,MATCH("*"&amp;L56&amp;"*",'V9'!B$300:B$400,0)),"  ")</f>
        <v xml:space="preserve">  </v>
      </c>
      <c r="AI56" s="563" t="str">
        <f>IFERROR(INDEX('V10'!C$300:C$400,MATCH("*"&amp;L56&amp;"*",'V10'!B$300:B$400,0)),"  ")</f>
        <v xml:space="preserve">  </v>
      </c>
      <c r="AJ56" s="564">
        <f t="shared" si="62"/>
        <v>50</v>
      </c>
      <c r="AK56" s="565">
        <f t="shared" si="63"/>
        <v>10</v>
      </c>
      <c r="AL56" s="566" t="str">
        <f t="shared" si="64"/>
        <v>edasi 37</v>
      </c>
      <c r="AM56" s="567" t="str">
        <f>IFERROR(INDEX(#REF!,MATCH("*"&amp;L56&amp;"*",#REF!,0)),"  ")</f>
        <v xml:space="preserve">  </v>
      </c>
      <c r="AN56" s="568">
        <f t="shared" si="65"/>
        <v>3</v>
      </c>
      <c r="AO56" s="469">
        <f t="shared" si="66"/>
        <v>0</v>
      </c>
      <c r="AP56" s="469">
        <f t="shared" si="67"/>
        <v>0</v>
      </c>
      <c r="AQ56" s="569"/>
      <c r="AR56" s="569"/>
      <c r="AS56" s="569"/>
      <c r="AT56" s="570">
        <f t="shared" si="68"/>
        <v>1E-4</v>
      </c>
      <c r="AU56" s="571">
        <f t="shared" si="69"/>
        <v>1E-4</v>
      </c>
      <c r="AV56" s="571">
        <f t="shared" si="70"/>
        <v>2.0000000000000001E-4</v>
      </c>
      <c r="AW56" s="571">
        <f t="shared" si="71"/>
        <v>2.9999999999999997E-4</v>
      </c>
      <c r="AX56" s="571">
        <f t="shared" si="72"/>
        <v>2.0004</v>
      </c>
      <c r="AY56" s="571">
        <f t="shared" si="73"/>
        <v>4.0004999999999997</v>
      </c>
      <c r="AZ56" s="571">
        <f t="shared" si="74"/>
        <v>4.0006000000000004</v>
      </c>
      <c r="BA56" s="571">
        <f t="shared" si="75"/>
        <v>6.9999999999999999E-4</v>
      </c>
      <c r="BB56" s="571">
        <f t="shared" si="76"/>
        <v>8.0000000000000004E-4</v>
      </c>
      <c r="BC56" s="571">
        <f t="shared" si="77"/>
        <v>8.9999999999999998E-4</v>
      </c>
      <c r="BD56" s="571">
        <f t="shared" si="78"/>
        <v>1E-3</v>
      </c>
      <c r="BE56" s="569"/>
      <c r="BF56" s="569"/>
      <c r="BG56" s="569"/>
      <c r="BH56" s="569"/>
      <c r="BI56" s="377" t="e">
        <f t="shared" si="79"/>
        <v>#VALUE!</v>
      </c>
      <c r="BJ56" s="377" t="e">
        <f t="shared" si="80"/>
        <v>#VALUE!</v>
      </c>
      <c r="BK56" s="377" t="e">
        <f t="shared" si="81"/>
        <v>#VALUE!</v>
      </c>
      <c r="BL56" s="377">
        <f t="shared" si="82"/>
        <v>14</v>
      </c>
      <c r="BM56" s="377">
        <f t="shared" si="83"/>
        <v>17</v>
      </c>
      <c r="BN56" s="377">
        <f t="shared" si="84"/>
        <v>15</v>
      </c>
      <c r="BO56" s="377" t="e">
        <f t="shared" si="85"/>
        <v>#VALUE!</v>
      </c>
      <c r="BP56" s="377" t="e">
        <f t="shared" si="86"/>
        <v>#VALUE!</v>
      </c>
      <c r="BQ56" s="377" t="e">
        <f t="shared" si="87"/>
        <v>#VALUE!</v>
      </c>
      <c r="BR56" s="377" t="e">
        <f t="shared" si="88"/>
        <v>#VALUE!</v>
      </c>
    </row>
    <row r="57" spans="1:70" ht="12.75" customHeight="1" x14ac:dyDescent="0.2">
      <c r="A57" s="484" t="str">
        <f t="shared" si="45"/>
        <v/>
      </c>
      <c r="B57" s="485">
        <f t="shared" si="46"/>
        <v>-949</v>
      </c>
      <c r="C57" s="486" t="str">
        <f t="shared" si="47"/>
        <v/>
      </c>
      <c r="D57" s="487">
        <f t="shared" si="48"/>
        <v>-949</v>
      </c>
      <c r="E57" s="488">
        <f t="shared" si="49"/>
        <v>40</v>
      </c>
      <c r="F57" s="489">
        <f t="shared" si="50"/>
        <v>51</v>
      </c>
      <c r="G57" s="490" t="str">
        <f t="shared" si="51"/>
        <v/>
      </c>
      <c r="H57" s="489">
        <f t="shared" si="52"/>
        <v>-949</v>
      </c>
      <c r="I57" s="491" t="str">
        <f t="shared" si="53"/>
        <v/>
      </c>
      <c r="J57" s="554">
        <f t="shared" si="54"/>
        <v>-949</v>
      </c>
      <c r="K57" s="526">
        <f t="shared" si="55"/>
        <v>51</v>
      </c>
      <c r="L57" s="586" t="s">
        <v>397</v>
      </c>
      <c r="M57" s="587"/>
      <c r="N57" s="588" t="s">
        <v>168</v>
      </c>
      <c r="O57" s="589"/>
      <c r="P57" s="590"/>
      <c r="Q57" s="591" t="s">
        <v>398</v>
      </c>
      <c r="R57" s="539">
        <f>(IF(COUNT(Z57,AA57,AB57,AC57,AD57,AE57,AF57,AG57,AH57,AI57)&lt;10,SUM(Z57,AA57,AB57,AC57,AD57,AE57,AF57,AG57,AH57,AI57),SUM(LARGE((Z57,AA57,AB57,AC57,AD57,AE57,AF57,AG57,AH57,AI57),{1;2;3;4;5;6;7;8;9}))))</f>
        <v>8</v>
      </c>
      <c r="S57" s="561" t="str">
        <f>INDEX([1]ETAPP!B$1:B$32,MATCH(COUNTIF(BI57:BR57,1),[1]ETAPP!A$1:A$32,0))&amp;INDEX([1]ETAPP!B$1:B$32,MATCH(COUNTIF(BI57:BR57,2),[1]ETAPP!A$1:A$32,0))&amp;INDEX([1]ETAPP!B$1:B$32,MATCH(COUNTIF(BI57:BR57,3),[1]ETAPP!A$1:A$32,0))&amp;INDEX([1]ETAPP!B$1:B$32,MATCH(COUNTIF(BI57:BR57,4),[1]ETAPP!A$1:A$32,0))&amp;INDEX([1]ETAPP!B$1:B$32,MATCH(COUNTIF(BI57:BR57,5),[1]ETAPP!A$1:A$32,0))&amp;INDEX([1]ETAPP!B$1:B$32,MATCH(COUNTIF(BI57:BR57,6),[1]ETAPP!A$1:A$32,0))&amp;INDEX([1]ETAPP!B$1:B$32,MATCH(COUNTIF(BI57:BR57,7),[1]ETAPP!A$1:A$32,0))&amp;INDEX([1]ETAPP!B$1:B$32,MATCH(COUNTIF(BI57:BR57,8),[1]ETAPP!A$1:A$32,0))&amp;INDEX([1]ETAPP!B$1:B$32,MATCH(COUNTIF(BI57:BR57,9),[1]ETAPP!A$1:A$32,0))&amp;INDEX([1]ETAPP!B$1:B$32,MATCH(COUNTIF(BI57:BR57,10),[1]ETAPP!A$1:A$32,0))&amp;INDEX([1]ETAPP!B$1:B$32,MATCH(COUNTIF(BI57:BR57,11),[1]ETAPP!A$1:A$32,0))&amp;INDEX([1]ETAPP!B$1:B$32,MATCH(COUNTIF(BI57:BR57,12),[1]ETAPP!A$1:A$32,0))&amp;INDEX([1]ETAPP!B$1:B$32,MATCH(COUNTIF(BI57:BR57,13),[1]ETAPP!A$1:A$32,0))&amp;INDEX([1]ETAPP!B$1:B$32,MATCH(COUNTIF(BI57:BR57,14),[1]ETAPP!A$1:A$32,0))&amp;INDEX([1]ETAPP!B$1:B$32,MATCH(COUNTIF(BI57:BR57,15),[1]ETAPP!A$1:A$32,0))&amp;INDEX([1]ETAPP!B$1:B$32,MATCH(COUNTIF(BI57:BR57,16),[1]ETAPP!A$1:A$32,0))&amp;INDEX([1]ETAPP!B$1:B$32,MATCH(COUNTIF(BI57:BR57,17),[1]ETAPP!A$1:A$32,0))&amp;INDEX([1]ETAPP!B$1:B$32,MATCH(COUNTIF(BI57:BR57,18),[1]ETAPP!A$1:A$32,0))&amp;INDEX([1]ETAPP!B$1:B$32,MATCH(COUNTIF(BI57:BR57,19),[1]ETAPP!A$1:A$32,0))&amp;INDEX([1]ETAPP!B$1:B$32,MATCH(COUNTIF(BI57:BR57,20),[1]ETAPP!A$1:A$32,0))&amp;INDEX([1]ETAPP!B$1:B$32,MATCH(COUNTIF(BI57:BR57,21),[1]ETAPP!A$1:A$32,0))</f>
        <v>00000000000A00A000000</v>
      </c>
      <c r="T57" s="561" t="str">
        <f t="shared" si="56"/>
        <v>008,0-00000000000A00A000000</v>
      </c>
      <c r="U57" s="561">
        <f t="shared" si="57"/>
        <v>51</v>
      </c>
      <c r="V57" s="561">
        <f t="shared" si="58"/>
        <v>43</v>
      </c>
      <c r="W57" s="561" t="str">
        <f t="shared" si="59"/>
        <v>008,0-00000000000A00A000000-043</v>
      </c>
      <c r="X57" s="561">
        <f t="shared" si="60"/>
        <v>51</v>
      </c>
      <c r="Y57" s="562">
        <f t="shared" si="61"/>
        <v>64</v>
      </c>
      <c r="Z57" s="563" t="str">
        <f>IFERROR(INDEX('V1'!C$300:C$400,MATCH("*"&amp;L57&amp;"*",'V1'!B$300:B$400,0)),"  ")</f>
        <v xml:space="preserve">  </v>
      </c>
      <c r="AA57" s="563">
        <f>IFERROR(INDEX('V2'!C$300:C$400,MATCH("*"&amp;L57&amp;"*",'V2'!B$300:B$400,0)),"  ")</f>
        <v>2</v>
      </c>
      <c r="AB57" s="563" t="str">
        <f>IFERROR(INDEX('V3'!C$300:C$400,MATCH("*"&amp;L57&amp;"*",'V3'!B$300:B$400,0)),"  ")</f>
        <v xml:space="preserve">  </v>
      </c>
      <c r="AC57" s="563">
        <f>IFERROR(INDEX('V4'!C$300:C$400,MATCH("*"&amp;L57&amp;"*",'V4'!B$300:B$400,0)),"  ")</f>
        <v>6</v>
      </c>
      <c r="AD57" s="563" t="str">
        <f>IFERROR(INDEX('V5'!C$300:C$400,MATCH("*"&amp;L57&amp;"*",'V5'!B$300:B$400,0)),"  ")</f>
        <v xml:space="preserve">  </v>
      </c>
      <c r="AE57" s="563" t="str">
        <f>IFERROR(INDEX('V6'!C$300:C$400,MATCH("*"&amp;L57&amp;"*",'V6'!B$300:B$400,0)),"  ")</f>
        <v xml:space="preserve">  </v>
      </c>
      <c r="AF57" s="563" t="str">
        <f>IFERROR(INDEX('V7'!C$300:C$400,MATCH("*"&amp;L57&amp;"*",'V7'!B$300:B$400,0)),"  ")</f>
        <v xml:space="preserve">  </v>
      </c>
      <c r="AG57" s="563" t="str">
        <f>IFERROR(INDEX('V8'!C$300:C$400,MATCH("*"&amp;L57&amp;"*",'V8'!B$300:B$400,0)),"  ")</f>
        <v xml:space="preserve">  </v>
      </c>
      <c r="AH57" s="563" t="str">
        <f>IFERROR(INDEX('V9'!C$300:C$400,MATCH("*"&amp;L57&amp;"*",'V9'!B$300:B$400,0)),"  ")</f>
        <v xml:space="preserve">  </v>
      </c>
      <c r="AI57" s="563" t="str">
        <f>IFERROR(INDEX('V10'!C$300:C$400,MATCH("*"&amp;L57&amp;"*",'V10'!B$300:B$400,0)),"  ")</f>
        <v xml:space="preserve">  </v>
      </c>
      <c r="AJ57" s="564" t="str">
        <f t="shared" si="62"/>
        <v/>
      </c>
      <c r="AK57" s="565">
        <f t="shared" si="63"/>
        <v>8</v>
      </c>
      <c r="AL57" s="566">
        <f t="shared" si="64"/>
        <v>51</v>
      </c>
      <c r="AM57" s="567" t="str">
        <f>IFERROR(INDEX(#REF!,MATCH("*"&amp;L57&amp;"*",#REF!,0)),"  ")</f>
        <v xml:space="preserve">  </v>
      </c>
      <c r="AN57" s="568">
        <f t="shared" si="65"/>
        <v>2</v>
      </c>
      <c r="AO57" s="469">
        <f t="shared" si="66"/>
        <v>0</v>
      </c>
      <c r="AP57" s="469">
        <f t="shared" si="67"/>
        <v>0</v>
      </c>
      <c r="AQ57" s="569"/>
      <c r="AR57" s="569"/>
      <c r="AS57" s="569"/>
      <c r="AT57" s="570">
        <f t="shared" si="68"/>
        <v>1E-4</v>
      </c>
      <c r="AU57" s="571">
        <f t="shared" si="69"/>
        <v>1E-4</v>
      </c>
      <c r="AV57" s="571">
        <f t="shared" si="70"/>
        <v>2.0002</v>
      </c>
      <c r="AW57" s="571">
        <f t="shared" si="71"/>
        <v>2.9999999999999997E-4</v>
      </c>
      <c r="AX57" s="571">
        <f t="shared" si="72"/>
        <v>6.0004</v>
      </c>
      <c r="AY57" s="571">
        <f t="shared" si="73"/>
        <v>5.0000000000000001E-4</v>
      </c>
      <c r="AZ57" s="571">
        <f t="shared" si="74"/>
        <v>5.9999999999999995E-4</v>
      </c>
      <c r="BA57" s="571">
        <f t="shared" si="75"/>
        <v>6.9999999999999999E-4</v>
      </c>
      <c r="BB57" s="571">
        <f t="shared" si="76"/>
        <v>8.0000000000000004E-4</v>
      </c>
      <c r="BC57" s="571">
        <f t="shared" si="77"/>
        <v>8.9999999999999998E-4</v>
      </c>
      <c r="BD57" s="571">
        <f t="shared" si="78"/>
        <v>1E-3</v>
      </c>
      <c r="BE57" s="569"/>
      <c r="BF57" s="569"/>
      <c r="BG57" s="569"/>
      <c r="BH57" s="569"/>
      <c r="BI57" s="377" t="e">
        <f t="shared" si="79"/>
        <v>#VALUE!</v>
      </c>
      <c r="BJ57" s="377">
        <f t="shared" si="80"/>
        <v>15</v>
      </c>
      <c r="BK57" s="377" t="e">
        <f t="shared" si="81"/>
        <v>#VALUE!</v>
      </c>
      <c r="BL57" s="377">
        <f t="shared" si="82"/>
        <v>12</v>
      </c>
      <c r="BM57" s="377" t="e">
        <f t="shared" si="83"/>
        <v>#VALUE!</v>
      </c>
      <c r="BN57" s="377" t="e">
        <f t="shared" si="84"/>
        <v>#VALUE!</v>
      </c>
      <c r="BO57" s="377" t="e">
        <f t="shared" si="85"/>
        <v>#VALUE!</v>
      </c>
      <c r="BP57" s="377" t="e">
        <f t="shared" si="86"/>
        <v>#VALUE!</v>
      </c>
      <c r="BQ57" s="377" t="e">
        <f t="shared" si="87"/>
        <v>#VALUE!</v>
      </c>
      <c r="BR57" s="377" t="e">
        <f t="shared" si="88"/>
        <v>#VALUE!</v>
      </c>
    </row>
    <row r="58" spans="1:70" ht="12.75" customHeight="1" x14ac:dyDescent="0.2">
      <c r="A58" s="484">
        <f t="shared" si="45"/>
        <v>34</v>
      </c>
      <c r="B58" s="485">
        <f t="shared" si="46"/>
        <v>53</v>
      </c>
      <c r="C58" s="486" t="str">
        <f t="shared" si="47"/>
        <v/>
      </c>
      <c r="D58" s="487">
        <f t="shared" si="48"/>
        <v>-947</v>
      </c>
      <c r="E58" s="488" t="str">
        <f t="shared" si="49"/>
        <v/>
      </c>
      <c r="F58" s="489">
        <f t="shared" si="50"/>
        <v>-947</v>
      </c>
      <c r="G58" s="490">
        <f t="shared" si="51"/>
        <v>10</v>
      </c>
      <c r="H58" s="489">
        <f t="shared" si="52"/>
        <v>53</v>
      </c>
      <c r="I58" s="491" t="str">
        <f t="shared" si="53"/>
        <v/>
      </c>
      <c r="J58" s="554">
        <f t="shared" si="54"/>
        <v>-947</v>
      </c>
      <c r="K58" s="526">
        <f t="shared" si="55"/>
        <v>52</v>
      </c>
      <c r="L58" s="585" t="s">
        <v>199</v>
      </c>
      <c r="M58" s="556" t="s">
        <v>170</v>
      </c>
      <c r="N58" s="557" t="str">
        <f>IF(M58="","m","")</f>
        <v/>
      </c>
      <c r="O58" s="558"/>
      <c r="P58" s="559"/>
      <c r="Q58" s="560" t="s">
        <v>148</v>
      </c>
      <c r="R58" s="539">
        <f>(IF(COUNT(Z58,AA58,AB58,AC58,AD58,AE58,AF58,AG58,AH58,AI58)&lt;10,SUM(Z58,AA58,AB58,AC58,AD58,AE58,AF58,AG58,AH58,AI58),SUM(LARGE((Z58,AA58,AB58,AC58,AD58,AE58,AF58,AG58,AH58,AI58),{1;2;3;4;5;6;7;8;9}))))</f>
        <v>6</v>
      </c>
      <c r="S58" s="561" t="str">
        <f>INDEX([1]ETAPP!B$1:B$32,MATCH(COUNTIF(BI58:BR58,1),[1]ETAPP!A$1:A$32,0))&amp;INDEX([1]ETAPP!B$1:B$32,MATCH(COUNTIF(BI58:BR58,2),[1]ETAPP!A$1:A$32,0))&amp;INDEX([1]ETAPP!B$1:B$32,MATCH(COUNTIF(BI58:BR58,3),[1]ETAPP!A$1:A$32,0))&amp;INDEX([1]ETAPP!B$1:B$32,MATCH(COUNTIF(BI58:BR58,4),[1]ETAPP!A$1:A$32,0))&amp;INDEX([1]ETAPP!B$1:B$32,MATCH(COUNTIF(BI58:BR58,5),[1]ETAPP!A$1:A$32,0))&amp;INDEX([1]ETAPP!B$1:B$32,MATCH(COUNTIF(BI58:BR58,6),[1]ETAPP!A$1:A$32,0))&amp;INDEX([1]ETAPP!B$1:B$32,MATCH(COUNTIF(BI58:BR58,7),[1]ETAPP!A$1:A$32,0))&amp;INDEX([1]ETAPP!B$1:B$32,MATCH(COUNTIF(BI58:BR58,8),[1]ETAPP!A$1:A$32,0))&amp;INDEX([1]ETAPP!B$1:B$32,MATCH(COUNTIF(BI58:BR58,9),[1]ETAPP!A$1:A$32,0))&amp;INDEX([1]ETAPP!B$1:B$32,MATCH(COUNTIF(BI58:BR58,10),[1]ETAPP!A$1:A$32,0))&amp;INDEX([1]ETAPP!B$1:B$32,MATCH(COUNTIF(BI58:BR58,11),[1]ETAPP!A$1:A$32,0))&amp;INDEX([1]ETAPP!B$1:B$32,MATCH(COUNTIF(BI58:BR58,12),[1]ETAPP!A$1:A$32,0))&amp;INDEX([1]ETAPP!B$1:B$32,MATCH(COUNTIF(BI58:BR58,13),[1]ETAPP!A$1:A$32,0))&amp;INDEX([1]ETAPP!B$1:B$32,MATCH(COUNTIF(BI58:BR58,14),[1]ETAPP!A$1:A$32,0))&amp;INDEX([1]ETAPP!B$1:B$32,MATCH(COUNTIF(BI58:BR58,15),[1]ETAPP!A$1:A$32,0))&amp;INDEX([1]ETAPP!B$1:B$32,MATCH(COUNTIF(BI58:BR58,16),[1]ETAPP!A$1:A$32,0))&amp;INDEX([1]ETAPP!B$1:B$32,MATCH(COUNTIF(BI58:BR58,17),[1]ETAPP!A$1:A$32,0))&amp;INDEX([1]ETAPP!B$1:B$32,MATCH(COUNTIF(BI58:BR58,18),[1]ETAPP!A$1:A$32,0))&amp;INDEX([1]ETAPP!B$1:B$32,MATCH(COUNTIF(BI58:BR58,19),[1]ETAPP!A$1:A$32,0))&amp;INDEX([1]ETAPP!B$1:B$32,MATCH(COUNTIF(BI58:BR58,20),[1]ETAPP!A$1:A$32,0))&amp;INDEX([1]ETAPP!B$1:B$32,MATCH(COUNTIF(BI58:BR58,21),[1]ETAPP!A$1:A$32,0))</f>
        <v>00000000000A000A0A000</v>
      </c>
      <c r="T58" s="561" t="str">
        <f t="shared" si="56"/>
        <v>006,0-00000000000A000A0A000</v>
      </c>
      <c r="U58" s="561">
        <f t="shared" si="57"/>
        <v>53</v>
      </c>
      <c r="V58" s="561">
        <f t="shared" si="58"/>
        <v>86</v>
      </c>
      <c r="W58" s="561" t="str">
        <f t="shared" si="59"/>
        <v>006,0-00000000000A000A0A000-086</v>
      </c>
      <c r="X58" s="561">
        <f t="shared" si="60"/>
        <v>52</v>
      </c>
      <c r="Y58" s="562">
        <f t="shared" si="61"/>
        <v>63</v>
      </c>
      <c r="Z58" s="563" t="str">
        <f>IFERROR(INDEX('V1'!C$300:C$400,MATCH("*"&amp;L58&amp;"*",'V1'!B$300:B$400,0)),"  ")</f>
        <v xml:space="preserve">  </v>
      </c>
      <c r="AA58" s="563" t="str">
        <f>IFERROR(INDEX('V2'!C$300:C$400,MATCH("*"&amp;L58&amp;"*",'V2'!B$300:B$400,0)),"  ")</f>
        <v xml:space="preserve">  </v>
      </c>
      <c r="AB58" s="563" t="str">
        <f>IFERROR(INDEX('V3'!C$300:C$400,MATCH("*"&amp;L58&amp;"*",'V3'!B$300:B$400,0)),"  ")</f>
        <v xml:space="preserve">  </v>
      </c>
      <c r="AC58" s="563" t="str">
        <f>IFERROR(INDEX('V4'!C$300:C$400,MATCH("*"&amp;L58&amp;"*",'V4'!B$300:B$400,0)),"  ")</f>
        <v xml:space="preserve">  </v>
      </c>
      <c r="AD58" s="563">
        <f>IFERROR(INDEX('V5'!C$300:C$400,MATCH("*"&amp;L58&amp;"*",'V5'!B$300:B$400,0)),"  ")</f>
        <v>2</v>
      </c>
      <c r="AE58" s="563">
        <f>IFERROR(INDEX('V6'!C$300:C$400,MATCH("*"&amp;L58&amp;"*",'V6'!B$300:B$400,0)),"  ")</f>
        <v>2</v>
      </c>
      <c r="AF58" s="563" t="str">
        <f>IFERROR(INDEX('V7'!C$300:C$400,MATCH("*"&amp;L58&amp;"*",'V7'!B$300:B$400,0)),"  ")</f>
        <v xml:space="preserve">  </v>
      </c>
      <c r="AG58" s="563" t="str">
        <f>IFERROR(INDEX('V8'!C$300:C$400,MATCH("*"&amp;L58&amp;"*",'V8'!B$300:B$400,0)),"  ")</f>
        <v xml:space="preserve">  </v>
      </c>
      <c r="AH58" s="563" t="str">
        <f>IFERROR(INDEX('V9'!C$300:C$400,MATCH("*"&amp;L58&amp;"*",'V9'!B$300:B$400,0)),"  ")</f>
        <v xml:space="preserve">  </v>
      </c>
      <c r="AI58" s="563">
        <f>IFERROR(INDEX('V10'!C$300:C$400,MATCH("*"&amp;L58&amp;"*",'V10'!B$300:B$400,0)),"  ")</f>
        <v>2</v>
      </c>
      <c r="AJ58" s="564">
        <f t="shared" si="62"/>
        <v>52</v>
      </c>
      <c r="AK58" s="565">
        <f t="shared" si="63"/>
        <v>6</v>
      </c>
      <c r="AL58" s="566" t="str">
        <f t="shared" si="64"/>
        <v>edasi 38</v>
      </c>
      <c r="AM58" s="567" t="str">
        <f>IFERROR(INDEX(#REF!,MATCH("*"&amp;L58&amp;"*",#REF!,0)),"  ")</f>
        <v xml:space="preserve">  </v>
      </c>
      <c r="AN58" s="568">
        <f t="shared" si="65"/>
        <v>3</v>
      </c>
      <c r="AO58" s="469">
        <f t="shared" si="66"/>
        <v>0</v>
      </c>
      <c r="AP58" s="469">
        <f t="shared" si="67"/>
        <v>0</v>
      </c>
      <c r="AQ58" s="569"/>
      <c r="AR58" s="569"/>
      <c r="AS58" s="569"/>
      <c r="AT58" s="570">
        <f t="shared" si="68"/>
        <v>1E-4</v>
      </c>
      <c r="AU58" s="571">
        <f t="shared" si="69"/>
        <v>1E-4</v>
      </c>
      <c r="AV58" s="571">
        <f t="shared" si="70"/>
        <v>2.0000000000000001E-4</v>
      </c>
      <c r="AW58" s="571">
        <f t="shared" si="71"/>
        <v>2.9999999999999997E-4</v>
      </c>
      <c r="AX58" s="571">
        <f t="shared" si="72"/>
        <v>4.0000000000000002E-4</v>
      </c>
      <c r="AY58" s="571">
        <f t="shared" si="73"/>
        <v>2.0005000000000002</v>
      </c>
      <c r="AZ58" s="571">
        <f t="shared" si="74"/>
        <v>2.0005999999999999</v>
      </c>
      <c r="BA58" s="571">
        <f t="shared" si="75"/>
        <v>6.9999999999999999E-4</v>
      </c>
      <c r="BB58" s="571">
        <f t="shared" si="76"/>
        <v>8.0000000000000004E-4</v>
      </c>
      <c r="BC58" s="571">
        <f t="shared" si="77"/>
        <v>8.9999999999999998E-4</v>
      </c>
      <c r="BD58" s="571">
        <f t="shared" si="78"/>
        <v>2.0009999999999999</v>
      </c>
      <c r="BE58" s="569"/>
      <c r="BF58" s="569"/>
      <c r="BG58" s="569"/>
      <c r="BH58" s="569"/>
      <c r="BI58" s="377" t="e">
        <f t="shared" si="79"/>
        <v>#VALUE!</v>
      </c>
      <c r="BJ58" s="377" t="e">
        <f t="shared" si="80"/>
        <v>#VALUE!</v>
      </c>
      <c r="BK58" s="377" t="e">
        <f t="shared" si="81"/>
        <v>#VALUE!</v>
      </c>
      <c r="BL58" s="377" t="e">
        <f t="shared" si="82"/>
        <v>#VALUE!</v>
      </c>
      <c r="BM58" s="377">
        <f t="shared" si="83"/>
        <v>18</v>
      </c>
      <c r="BN58" s="377">
        <f t="shared" si="84"/>
        <v>16</v>
      </c>
      <c r="BO58" s="377" t="e">
        <f t="shared" si="85"/>
        <v>#VALUE!</v>
      </c>
      <c r="BP58" s="377" t="e">
        <f t="shared" si="86"/>
        <v>#VALUE!</v>
      </c>
      <c r="BQ58" s="377" t="e">
        <f t="shared" si="87"/>
        <v>#VALUE!</v>
      </c>
      <c r="BR58" s="377">
        <f t="shared" si="88"/>
        <v>12</v>
      </c>
    </row>
    <row r="59" spans="1:70" ht="12.75" customHeight="1" x14ac:dyDescent="0.2">
      <c r="A59" s="484">
        <f t="shared" si="45"/>
        <v>34</v>
      </c>
      <c r="B59" s="485">
        <f t="shared" si="46"/>
        <v>53</v>
      </c>
      <c r="C59" s="486" t="str">
        <f t="shared" si="47"/>
        <v/>
      </c>
      <c r="D59" s="487">
        <f t="shared" si="48"/>
        <v>-947</v>
      </c>
      <c r="E59" s="488">
        <f t="shared" si="49"/>
        <v>41</v>
      </c>
      <c r="F59" s="489">
        <f t="shared" si="50"/>
        <v>53</v>
      </c>
      <c r="G59" s="490" t="str">
        <f t="shared" si="51"/>
        <v/>
      </c>
      <c r="H59" s="489">
        <f t="shared" si="52"/>
        <v>-947</v>
      </c>
      <c r="I59" s="491" t="str">
        <f t="shared" si="53"/>
        <v/>
      </c>
      <c r="J59" s="554">
        <f t="shared" si="54"/>
        <v>-947</v>
      </c>
      <c r="K59" s="526">
        <f t="shared" si="55"/>
        <v>52</v>
      </c>
      <c r="L59" s="573" t="s">
        <v>200</v>
      </c>
      <c r="M59" s="556"/>
      <c r="N59" s="557" t="str">
        <f>IF(M59="","m","")</f>
        <v>m</v>
      </c>
      <c r="O59" s="558"/>
      <c r="P59" s="559"/>
      <c r="Q59" s="560" t="s">
        <v>148</v>
      </c>
      <c r="R59" s="539">
        <f>(IF(COUNT(Z59,AA59,AB59,AC59,AD59,AE59,AF59,AG59,AH59,AI59)&lt;10,SUM(Z59,AA59,AB59,AC59,AD59,AE59,AF59,AG59,AH59,AI59),SUM(LARGE((Z59,AA59,AB59,AC59,AD59,AE59,AF59,AG59,AH59,AI59),{1;2;3;4;5;6;7;8;9}))))</f>
        <v>6</v>
      </c>
      <c r="S59" s="561" t="str">
        <f>INDEX([1]ETAPP!B$1:B$32,MATCH(COUNTIF(BI59:BR59,1),[1]ETAPP!A$1:A$32,0))&amp;INDEX([1]ETAPP!B$1:B$32,MATCH(COUNTIF(BI59:BR59,2),[1]ETAPP!A$1:A$32,0))&amp;INDEX([1]ETAPP!B$1:B$32,MATCH(COUNTIF(BI59:BR59,3),[1]ETAPP!A$1:A$32,0))&amp;INDEX([1]ETAPP!B$1:B$32,MATCH(COUNTIF(BI59:BR59,4),[1]ETAPP!A$1:A$32,0))&amp;INDEX([1]ETAPP!B$1:B$32,MATCH(COUNTIF(BI59:BR59,5),[1]ETAPP!A$1:A$32,0))&amp;INDEX([1]ETAPP!B$1:B$32,MATCH(COUNTIF(BI59:BR59,6),[1]ETAPP!A$1:A$32,0))&amp;INDEX([1]ETAPP!B$1:B$32,MATCH(COUNTIF(BI59:BR59,7),[1]ETAPP!A$1:A$32,0))&amp;INDEX([1]ETAPP!B$1:B$32,MATCH(COUNTIF(BI59:BR59,8),[1]ETAPP!A$1:A$32,0))&amp;INDEX([1]ETAPP!B$1:B$32,MATCH(COUNTIF(BI59:BR59,9),[1]ETAPP!A$1:A$32,0))&amp;INDEX([1]ETAPP!B$1:B$32,MATCH(COUNTIF(BI59:BR59,10),[1]ETAPP!A$1:A$32,0))&amp;INDEX([1]ETAPP!B$1:B$32,MATCH(COUNTIF(BI59:BR59,11),[1]ETAPP!A$1:A$32,0))&amp;INDEX([1]ETAPP!B$1:B$32,MATCH(COUNTIF(BI59:BR59,12),[1]ETAPP!A$1:A$32,0))&amp;INDEX([1]ETAPP!B$1:B$32,MATCH(COUNTIF(BI59:BR59,13),[1]ETAPP!A$1:A$32,0))&amp;INDEX([1]ETAPP!B$1:B$32,MATCH(COUNTIF(BI59:BR59,14),[1]ETAPP!A$1:A$32,0))&amp;INDEX([1]ETAPP!B$1:B$32,MATCH(COUNTIF(BI59:BR59,15),[1]ETAPP!A$1:A$32,0))&amp;INDEX([1]ETAPP!B$1:B$32,MATCH(COUNTIF(BI59:BR59,16),[1]ETAPP!A$1:A$32,0))&amp;INDEX([1]ETAPP!B$1:B$32,MATCH(COUNTIF(BI59:BR59,17),[1]ETAPP!A$1:A$32,0))&amp;INDEX([1]ETAPP!B$1:B$32,MATCH(COUNTIF(BI59:BR59,18),[1]ETAPP!A$1:A$32,0))&amp;INDEX([1]ETAPP!B$1:B$32,MATCH(COUNTIF(BI59:BR59,19),[1]ETAPP!A$1:A$32,0))&amp;INDEX([1]ETAPP!B$1:B$32,MATCH(COUNTIF(BI59:BR59,20),[1]ETAPP!A$1:A$32,0))&amp;INDEX([1]ETAPP!B$1:B$32,MATCH(COUNTIF(BI59:BR59,21),[1]ETAPP!A$1:A$32,0))</f>
        <v>00000000000A000A0A000</v>
      </c>
      <c r="T59" s="561" t="str">
        <f t="shared" si="56"/>
        <v>006,0-00000000000A000A0A000</v>
      </c>
      <c r="U59" s="561">
        <f t="shared" si="57"/>
        <v>53</v>
      </c>
      <c r="V59" s="561">
        <f t="shared" si="58"/>
        <v>9</v>
      </c>
      <c r="W59" s="561" t="str">
        <f t="shared" si="59"/>
        <v>006,0-00000000000A000A0A000-009</v>
      </c>
      <c r="X59" s="561">
        <f t="shared" si="60"/>
        <v>53</v>
      </c>
      <c r="Y59" s="562">
        <f t="shared" si="61"/>
        <v>62</v>
      </c>
      <c r="Z59" s="563" t="str">
        <f>IFERROR(INDEX('V1'!C$300:C$400,MATCH("*"&amp;L59&amp;"*",'V1'!B$300:B$400,0)),"  ")</f>
        <v xml:space="preserve">  </v>
      </c>
      <c r="AA59" s="563" t="str">
        <f>IFERROR(INDEX('V2'!C$300:C$400,MATCH("*"&amp;L59&amp;"*",'V2'!B$300:B$400,0)),"  ")</f>
        <v xml:space="preserve">  </v>
      </c>
      <c r="AB59" s="563" t="str">
        <f>IFERROR(INDEX('V3'!C$300:C$400,MATCH("*"&amp;L59&amp;"*",'V3'!B$300:B$400,0)),"  ")</f>
        <v xml:space="preserve">  </v>
      </c>
      <c r="AC59" s="563" t="str">
        <f>IFERROR(INDEX('V4'!C$300:C$400,MATCH("*"&amp;L59&amp;"*",'V4'!B$300:B$400,0)),"  ")</f>
        <v xml:space="preserve">  </v>
      </c>
      <c r="AD59" s="563">
        <f>IFERROR(INDEX('V5'!C$300:C$400,MATCH("*"&amp;L59&amp;"*",'V5'!B$300:B$400,0)),"  ")</f>
        <v>2</v>
      </c>
      <c r="AE59" s="563">
        <f>IFERROR(INDEX('V6'!C$300:C$400,MATCH("*"&amp;L59&amp;"*",'V6'!B$300:B$400,0)),"  ")</f>
        <v>2</v>
      </c>
      <c r="AF59" s="563" t="str">
        <f>IFERROR(INDEX('V7'!C$300:C$400,MATCH("*"&amp;L59&amp;"*",'V7'!B$300:B$400,0)),"  ")</f>
        <v xml:space="preserve">  </v>
      </c>
      <c r="AG59" s="563" t="str">
        <f>IFERROR(INDEX('V8'!C$300:C$400,MATCH("*"&amp;L59&amp;"*",'V8'!B$300:B$400,0)),"  ")</f>
        <v xml:space="preserve">  </v>
      </c>
      <c r="AH59" s="563" t="str">
        <f>IFERROR(INDEX('V9'!C$300:C$400,MATCH("*"&amp;L59&amp;"*",'V9'!B$300:B$400,0)),"  ")</f>
        <v xml:space="preserve">  </v>
      </c>
      <c r="AI59" s="563">
        <f>IFERROR(INDEX('V10'!C$300:C$400,MATCH("*"&amp;L59&amp;"*",'V10'!B$300:B$400,0)),"  ")</f>
        <v>2</v>
      </c>
      <c r="AJ59" s="564">
        <f t="shared" si="62"/>
        <v>52</v>
      </c>
      <c r="AK59" s="565">
        <f t="shared" si="63"/>
        <v>6</v>
      </c>
      <c r="AL59" s="566" t="str">
        <f t="shared" si="64"/>
        <v>edasi 38</v>
      </c>
      <c r="AM59" s="567" t="str">
        <f>IFERROR(INDEX(#REF!,MATCH("*"&amp;L59&amp;"*",#REF!,0)),"  ")</f>
        <v xml:space="preserve">  </v>
      </c>
      <c r="AN59" s="568">
        <f t="shared" si="65"/>
        <v>3</v>
      </c>
      <c r="AO59" s="469">
        <f t="shared" si="66"/>
        <v>0</v>
      </c>
      <c r="AP59" s="469">
        <f t="shared" si="67"/>
        <v>0</v>
      </c>
      <c r="AQ59" s="569"/>
      <c r="AR59" s="569"/>
      <c r="AS59" s="569"/>
      <c r="AT59" s="570">
        <f t="shared" si="68"/>
        <v>1E-4</v>
      </c>
      <c r="AU59" s="571">
        <f t="shared" si="69"/>
        <v>1E-4</v>
      </c>
      <c r="AV59" s="571">
        <f t="shared" si="70"/>
        <v>2.0000000000000001E-4</v>
      </c>
      <c r="AW59" s="571">
        <f t="shared" si="71"/>
        <v>2.9999999999999997E-4</v>
      </c>
      <c r="AX59" s="571">
        <f t="shared" si="72"/>
        <v>4.0000000000000002E-4</v>
      </c>
      <c r="AY59" s="571">
        <f t="shared" si="73"/>
        <v>2.0005000000000002</v>
      </c>
      <c r="AZ59" s="571">
        <f t="shared" si="74"/>
        <v>2.0005999999999999</v>
      </c>
      <c r="BA59" s="571">
        <f t="shared" si="75"/>
        <v>6.9999999999999999E-4</v>
      </c>
      <c r="BB59" s="571">
        <f t="shared" si="76"/>
        <v>8.0000000000000004E-4</v>
      </c>
      <c r="BC59" s="571">
        <f t="shared" si="77"/>
        <v>8.9999999999999998E-4</v>
      </c>
      <c r="BD59" s="571">
        <f t="shared" si="78"/>
        <v>2.0009999999999999</v>
      </c>
      <c r="BE59" s="569"/>
      <c r="BF59" s="569"/>
      <c r="BG59" s="569"/>
      <c r="BH59" s="569"/>
      <c r="BI59" s="377" t="e">
        <f t="shared" si="79"/>
        <v>#VALUE!</v>
      </c>
      <c r="BJ59" s="377" t="e">
        <f t="shared" si="80"/>
        <v>#VALUE!</v>
      </c>
      <c r="BK59" s="377" t="e">
        <f t="shared" si="81"/>
        <v>#VALUE!</v>
      </c>
      <c r="BL59" s="377" t="e">
        <f t="shared" si="82"/>
        <v>#VALUE!</v>
      </c>
      <c r="BM59" s="377">
        <f t="shared" si="83"/>
        <v>18</v>
      </c>
      <c r="BN59" s="377">
        <f t="shared" si="84"/>
        <v>16</v>
      </c>
      <c r="BO59" s="377" t="e">
        <f t="shared" si="85"/>
        <v>#VALUE!</v>
      </c>
      <c r="BP59" s="377" t="e">
        <f t="shared" si="86"/>
        <v>#VALUE!</v>
      </c>
      <c r="BQ59" s="377" t="e">
        <f t="shared" si="87"/>
        <v>#VALUE!</v>
      </c>
      <c r="BR59" s="377">
        <f t="shared" si="88"/>
        <v>12</v>
      </c>
    </row>
    <row r="60" spans="1:70" ht="12.75" customHeight="1" x14ac:dyDescent="0.2">
      <c r="A60" s="484" t="str">
        <f t="shared" si="45"/>
        <v/>
      </c>
      <c r="B60" s="485">
        <f t="shared" si="46"/>
        <v>-946</v>
      </c>
      <c r="C60" s="486" t="str">
        <f t="shared" si="47"/>
        <v/>
      </c>
      <c r="D60" s="487">
        <f t="shared" si="48"/>
        <v>-946</v>
      </c>
      <c r="E60" s="488">
        <f t="shared" si="49"/>
        <v>42</v>
      </c>
      <c r="F60" s="489">
        <f t="shared" si="50"/>
        <v>54</v>
      </c>
      <c r="G60" s="490" t="str">
        <f t="shared" si="51"/>
        <v/>
      </c>
      <c r="H60" s="489">
        <f t="shared" si="52"/>
        <v>-946</v>
      </c>
      <c r="I60" s="491" t="str">
        <f t="shared" si="53"/>
        <v/>
      </c>
      <c r="J60" s="554">
        <f t="shared" si="54"/>
        <v>-946</v>
      </c>
      <c r="K60" s="526">
        <f t="shared" si="55"/>
        <v>54</v>
      </c>
      <c r="L60" s="555" t="s">
        <v>272</v>
      </c>
      <c r="M60" s="556"/>
      <c r="N60" s="557" t="s">
        <v>168</v>
      </c>
      <c r="O60" s="558"/>
      <c r="P60" s="559"/>
      <c r="Q60" s="560" t="s">
        <v>273</v>
      </c>
      <c r="R60" s="539">
        <f>(IF(COUNT(Z60,AA60,AB60,AC60,AD60,AE60,AF60,AG60,AH60,AI60)&lt;10,SUM(Z60,AA60,AB60,AC60,AD60,AE60,AF60,AG60,AH60,AI60),SUM(LARGE((Z60,AA60,AB60,AC60,AD60,AE60,AF60,AG60,AH60,AI60),{1;2;3;4;5;6;7;8;9}))))</f>
        <v>6</v>
      </c>
      <c r="S60" s="561" t="str">
        <f>INDEX([1]ETAPP!B$1:B$32,MATCH(COUNTIF(BI60:BR60,1),[1]ETAPP!A$1:A$32,0))&amp;INDEX([1]ETAPP!B$1:B$32,MATCH(COUNTIF(BI60:BR60,2),[1]ETAPP!A$1:A$32,0))&amp;INDEX([1]ETAPP!B$1:B$32,MATCH(COUNTIF(BI60:BR60,3),[1]ETAPP!A$1:A$32,0))&amp;INDEX([1]ETAPP!B$1:B$32,MATCH(COUNTIF(BI60:BR60,4),[1]ETAPP!A$1:A$32,0))&amp;INDEX([1]ETAPP!B$1:B$32,MATCH(COUNTIF(BI60:BR60,5),[1]ETAPP!A$1:A$32,0))&amp;INDEX([1]ETAPP!B$1:B$32,MATCH(COUNTIF(BI60:BR60,6),[1]ETAPP!A$1:A$32,0))&amp;INDEX([1]ETAPP!B$1:B$32,MATCH(COUNTIF(BI60:BR60,7),[1]ETAPP!A$1:A$32,0))&amp;INDEX([1]ETAPP!B$1:B$32,MATCH(COUNTIF(BI60:BR60,8),[1]ETAPP!A$1:A$32,0))&amp;INDEX([1]ETAPP!B$1:B$32,MATCH(COUNTIF(BI60:BR60,9),[1]ETAPP!A$1:A$32,0))&amp;INDEX([1]ETAPP!B$1:B$32,MATCH(COUNTIF(BI60:BR60,10),[1]ETAPP!A$1:A$32,0))&amp;INDEX([1]ETAPP!B$1:B$32,MATCH(COUNTIF(BI60:BR60,11),[1]ETAPP!A$1:A$32,0))&amp;INDEX([1]ETAPP!B$1:B$32,MATCH(COUNTIF(BI60:BR60,12),[1]ETAPP!A$1:A$32,0))&amp;INDEX([1]ETAPP!B$1:B$32,MATCH(COUNTIF(BI60:BR60,13),[1]ETAPP!A$1:A$32,0))&amp;INDEX([1]ETAPP!B$1:B$32,MATCH(COUNTIF(BI60:BR60,14),[1]ETAPP!A$1:A$32,0))&amp;INDEX([1]ETAPP!B$1:B$32,MATCH(COUNTIF(BI60:BR60,15),[1]ETAPP!A$1:A$32,0))&amp;INDEX([1]ETAPP!B$1:B$32,MATCH(COUNTIF(BI60:BR60,16),[1]ETAPP!A$1:A$32,0))&amp;INDEX([1]ETAPP!B$1:B$32,MATCH(COUNTIF(BI60:BR60,17),[1]ETAPP!A$1:A$32,0))&amp;INDEX([1]ETAPP!B$1:B$32,MATCH(COUNTIF(BI60:BR60,18),[1]ETAPP!A$1:A$32,0))&amp;INDEX([1]ETAPP!B$1:B$32,MATCH(COUNTIF(BI60:BR60,19),[1]ETAPP!A$1:A$32,0))&amp;INDEX([1]ETAPP!B$1:B$32,MATCH(COUNTIF(BI60:BR60,20),[1]ETAPP!A$1:A$32,0))&amp;INDEX([1]ETAPP!B$1:B$32,MATCH(COUNTIF(BI60:BR60,21),[1]ETAPP!A$1:A$32,0))</f>
        <v>0000000000000A0000000</v>
      </c>
      <c r="T60" s="561" t="str">
        <f t="shared" si="56"/>
        <v>006,0-0000000000000A0000000</v>
      </c>
      <c r="U60" s="561">
        <f t="shared" si="57"/>
        <v>54</v>
      </c>
      <c r="V60" s="561">
        <f t="shared" si="58"/>
        <v>35</v>
      </c>
      <c r="W60" s="561" t="str">
        <f t="shared" si="59"/>
        <v>006,0-0000000000000A0000000-035</v>
      </c>
      <c r="X60" s="561">
        <f t="shared" si="60"/>
        <v>54</v>
      </c>
      <c r="Y60" s="562">
        <f t="shared" si="61"/>
        <v>61</v>
      </c>
      <c r="Z60" s="563" t="str">
        <f>IFERROR(INDEX('V1'!C$300:C$400,MATCH("*"&amp;L60&amp;"*",'V1'!B$300:B$400,0)),"  ")</f>
        <v xml:space="preserve">  </v>
      </c>
      <c r="AA60" s="563" t="str">
        <f>IFERROR(INDEX('V2'!C$300:C$400,MATCH("*"&amp;L60&amp;"*",'V2'!B$300:B$400,0)),"  ")</f>
        <v xml:space="preserve">  </v>
      </c>
      <c r="AB60" s="563" t="str">
        <f>IFERROR(INDEX('V3'!C$300:C$400,MATCH("*"&amp;L60&amp;"*",'V3'!B$300:B$400,0)),"  ")</f>
        <v xml:space="preserve">  </v>
      </c>
      <c r="AC60" s="563" t="str">
        <f>IFERROR(INDEX('V4'!C$300:C$400,MATCH("*"&amp;L60&amp;"*",'V4'!B$300:B$400,0)),"  ")</f>
        <v xml:space="preserve">  </v>
      </c>
      <c r="AD60" s="563" t="str">
        <f>IFERROR(INDEX('V5'!C$300:C$400,MATCH("*"&amp;L60&amp;"*",'V5'!B$300:B$400,0)),"  ")</f>
        <v xml:space="preserve">  </v>
      </c>
      <c r="AE60" s="563">
        <f>IFERROR(INDEX('V6'!C$300:C$400,MATCH("*"&amp;L60&amp;"*",'V6'!B$300:B$400,0)),"  ")</f>
        <v>6</v>
      </c>
      <c r="AF60" s="563" t="str">
        <f>IFERROR(INDEX('V7'!C$300:C$400,MATCH("*"&amp;L60&amp;"*",'V7'!B$300:B$400,0)),"  ")</f>
        <v xml:space="preserve">  </v>
      </c>
      <c r="AG60" s="563" t="str">
        <f>IFERROR(INDEX('V8'!C$300:C$400,MATCH("*"&amp;L60&amp;"*",'V8'!B$300:B$400,0)),"  ")</f>
        <v xml:space="preserve">  </v>
      </c>
      <c r="AH60" s="563" t="str">
        <f>IFERROR(INDEX('V9'!C$300:C$400,MATCH("*"&amp;L60&amp;"*",'V9'!B$300:B$400,0)),"  ")</f>
        <v xml:space="preserve">  </v>
      </c>
      <c r="AI60" s="563" t="str">
        <f>IFERROR(INDEX('V10'!C$300:C$400,MATCH("*"&amp;L60&amp;"*",'V10'!B$300:B$400,0)),"  ")</f>
        <v xml:space="preserve">  </v>
      </c>
      <c r="AJ60" s="564" t="str">
        <f t="shared" si="62"/>
        <v/>
      </c>
      <c r="AK60" s="565">
        <f t="shared" si="63"/>
        <v>6</v>
      </c>
      <c r="AL60" s="566">
        <f t="shared" si="64"/>
        <v>54</v>
      </c>
      <c r="AM60" s="567" t="str">
        <f>IFERROR(INDEX(#REF!,MATCH("*"&amp;L60&amp;"*",#REF!,0)),"  ")</f>
        <v xml:space="preserve">  </v>
      </c>
      <c r="AN60" s="568">
        <f t="shared" si="65"/>
        <v>1</v>
      </c>
      <c r="AO60" s="469">
        <f t="shared" si="66"/>
        <v>0</v>
      </c>
      <c r="AP60" s="469">
        <f t="shared" si="67"/>
        <v>0</v>
      </c>
      <c r="AQ60" s="569"/>
      <c r="AR60" s="569"/>
      <c r="AS60" s="569"/>
      <c r="AT60" s="570">
        <f t="shared" si="68"/>
        <v>1E-4</v>
      </c>
      <c r="AU60" s="571">
        <f t="shared" si="69"/>
        <v>1E-4</v>
      </c>
      <c r="AV60" s="571">
        <f t="shared" si="70"/>
        <v>2.0000000000000001E-4</v>
      </c>
      <c r="AW60" s="571">
        <f t="shared" si="71"/>
        <v>2.9999999999999997E-4</v>
      </c>
      <c r="AX60" s="571">
        <f t="shared" si="72"/>
        <v>4.0000000000000002E-4</v>
      </c>
      <c r="AY60" s="571">
        <f t="shared" si="73"/>
        <v>5.0000000000000001E-4</v>
      </c>
      <c r="AZ60" s="571">
        <f t="shared" si="74"/>
        <v>6.0006000000000004</v>
      </c>
      <c r="BA60" s="571">
        <f t="shared" si="75"/>
        <v>6.9999999999999999E-4</v>
      </c>
      <c r="BB60" s="571">
        <f t="shared" si="76"/>
        <v>8.0000000000000004E-4</v>
      </c>
      <c r="BC60" s="571">
        <f t="shared" si="77"/>
        <v>8.9999999999999998E-4</v>
      </c>
      <c r="BD60" s="571">
        <f t="shared" si="78"/>
        <v>1E-3</v>
      </c>
      <c r="BE60" s="569"/>
      <c r="BF60" s="569"/>
      <c r="BG60" s="569"/>
      <c r="BH60" s="569"/>
      <c r="BI60" s="377" t="e">
        <f t="shared" si="79"/>
        <v>#VALUE!</v>
      </c>
      <c r="BJ60" s="377" t="e">
        <f t="shared" si="80"/>
        <v>#VALUE!</v>
      </c>
      <c r="BK60" s="377" t="e">
        <f t="shared" si="81"/>
        <v>#VALUE!</v>
      </c>
      <c r="BL60" s="377" t="e">
        <f t="shared" si="82"/>
        <v>#VALUE!</v>
      </c>
      <c r="BM60" s="377" t="e">
        <f t="shared" si="83"/>
        <v>#VALUE!</v>
      </c>
      <c r="BN60" s="377">
        <f t="shared" si="84"/>
        <v>14</v>
      </c>
      <c r="BO60" s="377" t="e">
        <f t="shared" si="85"/>
        <v>#VALUE!</v>
      </c>
      <c r="BP60" s="377" t="e">
        <f t="shared" si="86"/>
        <v>#VALUE!</v>
      </c>
      <c r="BQ60" s="377" t="e">
        <f t="shared" si="87"/>
        <v>#VALUE!</v>
      </c>
      <c r="BR60" s="377" t="e">
        <f t="shared" si="88"/>
        <v>#VALUE!</v>
      </c>
    </row>
    <row r="61" spans="1:70" ht="12.75" customHeight="1" x14ac:dyDescent="0.2">
      <c r="A61" s="484">
        <f t="shared" si="45"/>
        <v>36</v>
      </c>
      <c r="B61" s="485">
        <f t="shared" si="46"/>
        <v>55</v>
      </c>
      <c r="C61" s="486">
        <f t="shared" si="47"/>
        <v>21</v>
      </c>
      <c r="D61" s="487">
        <f t="shared" si="48"/>
        <v>55</v>
      </c>
      <c r="E61" s="488">
        <f t="shared" si="49"/>
        <v>43</v>
      </c>
      <c r="F61" s="489">
        <f t="shared" si="50"/>
        <v>55</v>
      </c>
      <c r="G61" s="490" t="str">
        <f t="shared" si="51"/>
        <v/>
      </c>
      <c r="H61" s="489">
        <f t="shared" si="52"/>
        <v>-945</v>
      </c>
      <c r="I61" s="491" t="str">
        <f t="shared" si="53"/>
        <v/>
      </c>
      <c r="J61" s="554">
        <f t="shared" si="54"/>
        <v>-945</v>
      </c>
      <c r="K61" s="526">
        <f t="shared" si="55"/>
        <v>55</v>
      </c>
      <c r="L61" s="572" t="s">
        <v>202</v>
      </c>
      <c r="M61" s="556"/>
      <c r="N61" s="557" t="str">
        <f>IF(M61="","m","")</f>
        <v>m</v>
      </c>
      <c r="O61" s="558"/>
      <c r="P61" s="559" t="s">
        <v>269</v>
      </c>
      <c r="Q61" s="560" t="s">
        <v>148</v>
      </c>
      <c r="R61" s="539">
        <f>(IF(COUNT(Z61,AA61,AB61,AC61,AD61,AE61,AF61,AG61,AH61,AI61)&lt;10,SUM(Z61,AA61,AB61,AC61,AD61,AE61,AF61,AG61,AH61,AI61),SUM(LARGE((Z61,AA61,AB61,AC61,AD61,AE61,AF61,AG61,AH61,AI61),{1;2;3;4;5;6;7;8;9}))))</f>
        <v>2</v>
      </c>
      <c r="S61" s="561" t="str">
        <f>INDEX([1]ETAPP!B$1:B$32,MATCH(COUNTIF(BI61:BR61,1),[1]ETAPP!A$1:A$32,0))&amp;INDEX([1]ETAPP!B$1:B$32,MATCH(COUNTIF(BI61:BR61,2),[1]ETAPP!A$1:A$32,0))&amp;INDEX([1]ETAPP!B$1:B$32,MATCH(COUNTIF(BI61:BR61,3),[1]ETAPP!A$1:A$32,0))&amp;INDEX([1]ETAPP!B$1:B$32,MATCH(COUNTIF(BI61:BR61,4),[1]ETAPP!A$1:A$32,0))&amp;INDEX([1]ETAPP!B$1:B$32,MATCH(COUNTIF(BI61:BR61,5),[1]ETAPP!A$1:A$32,0))&amp;INDEX([1]ETAPP!B$1:B$32,MATCH(COUNTIF(BI61:BR61,6),[1]ETAPP!A$1:A$32,0))&amp;INDEX([1]ETAPP!B$1:B$32,MATCH(COUNTIF(BI61:BR61,7),[1]ETAPP!A$1:A$32,0))&amp;INDEX([1]ETAPP!B$1:B$32,MATCH(COUNTIF(BI61:BR61,8),[1]ETAPP!A$1:A$32,0))&amp;INDEX([1]ETAPP!B$1:B$32,MATCH(COUNTIF(BI61:BR61,9),[1]ETAPP!A$1:A$32,0))&amp;INDEX([1]ETAPP!B$1:B$32,MATCH(COUNTIF(BI61:BR61,10),[1]ETAPP!A$1:A$32,0))&amp;INDEX([1]ETAPP!B$1:B$32,MATCH(COUNTIF(BI61:BR61,11),[1]ETAPP!A$1:A$32,0))&amp;INDEX([1]ETAPP!B$1:B$32,MATCH(COUNTIF(BI61:BR61,12),[1]ETAPP!A$1:A$32,0))&amp;INDEX([1]ETAPP!B$1:B$32,MATCH(COUNTIF(BI61:BR61,13),[1]ETAPP!A$1:A$32,0))&amp;INDEX([1]ETAPP!B$1:B$32,MATCH(COUNTIF(BI61:BR61,14),[1]ETAPP!A$1:A$32,0))&amp;INDEX([1]ETAPP!B$1:B$32,MATCH(COUNTIF(BI61:BR61,15),[1]ETAPP!A$1:A$32,0))&amp;INDEX([1]ETAPP!B$1:B$32,MATCH(COUNTIF(BI61:BR61,16),[1]ETAPP!A$1:A$32,0))&amp;INDEX([1]ETAPP!B$1:B$32,MATCH(COUNTIF(BI61:BR61,17),[1]ETAPP!A$1:A$32,0))&amp;INDEX([1]ETAPP!B$1:B$32,MATCH(COUNTIF(BI61:BR61,18),[1]ETAPP!A$1:A$32,0))&amp;INDEX([1]ETAPP!B$1:B$32,MATCH(COUNTIF(BI61:BR61,19),[1]ETAPP!A$1:A$32,0))&amp;INDEX([1]ETAPP!B$1:B$32,MATCH(COUNTIF(BI61:BR61,20),[1]ETAPP!A$1:A$32,0))&amp;INDEX([1]ETAPP!B$1:B$32,MATCH(COUNTIF(BI61:BR61,21),[1]ETAPP!A$1:A$32,0))</f>
        <v>0000000000000A0000000</v>
      </c>
      <c r="T61" s="561" t="str">
        <f t="shared" si="56"/>
        <v>002,0-0000000000000A0000000</v>
      </c>
      <c r="U61" s="561">
        <f t="shared" si="57"/>
        <v>55</v>
      </c>
      <c r="V61" s="561">
        <f t="shared" si="58"/>
        <v>19</v>
      </c>
      <c r="W61" s="561" t="str">
        <f t="shared" si="59"/>
        <v>002,0-0000000000000A0000000-019</v>
      </c>
      <c r="X61" s="561">
        <f t="shared" si="60"/>
        <v>55</v>
      </c>
      <c r="Y61" s="562">
        <f t="shared" si="61"/>
        <v>60</v>
      </c>
      <c r="Z61" s="563" t="str">
        <f>IFERROR(INDEX('V1'!C$300:C$400,MATCH("*"&amp;L61&amp;"*",'V1'!B$300:B$400,0)),"  ")</f>
        <v xml:space="preserve">  </v>
      </c>
      <c r="AA61" s="563" t="str">
        <f>IFERROR(INDEX('V2'!C$300:C$400,MATCH("*"&amp;L61&amp;"*",'V2'!B$300:B$400,0)),"  ")</f>
        <v xml:space="preserve">  </v>
      </c>
      <c r="AB61" s="563" t="str">
        <f>IFERROR(INDEX('V3'!C$300:C$400,MATCH("*"&amp;L61&amp;"*",'V3'!B$300:B$400,0)),"  ")</f>
        <v xml:space="preserve">  </v>
      </c>
      <c r="AC61" s="563" t="str">
        <f>IFERROR(INDEX('V4'!C$300:C$400,MATCH("*"&amp;L61&amp;"*",'V4'!B$300:B$400,0)),"  ")</f>
        <v xml:space="preserve">  </v>
      </c>
      <c r="AD61" s="563" t="str">
        <f>IFERROR(INDEX('V5'!C$300:C$400,MATCH("*"&amp;L61&amp;"*",'V5'!B$300:B$400,0)),"  ")</f>
        <v xml:space="preserve">  </v>
      </c>
      <c r="AE61" s="563" t="str">
        <f>IFERROR(INDEX('V6'!C$300:C$400,MATCH("*"&amp;L61&amp;"*",'V6'!B$300:B$400,0)),"  ")</f>
        <v xml:space="preserve">  </v>
      </c>
      <c r="AF61" s="563" t="str">
        <f>IFERROR(INDEX('V7'!C$300:C$400,MATCH("*"&amp;L61&amp;"*",'V7'!B$300:B$400,0)),"  ")</f>
        <v xml:space="preserve">  </v>
      </c>
      <c r="AG61" s="563" t="str">
        <f>IFERROR(INDEX('V8'!C$300:C$400,MATCH("*"&amp;L61&amp;"*",'V8'!B$300:B$400,0)),"  ")</f>
        <v xml:space="preserve">  </v>
      </c>
      <c r="AH61" s="563">
        <f>IFERROR(INDEX('V9'!C$300:C$400,MATCH("*"&amp;L61&amp;"*",'V9'!B$300:B$400,0)),"  ")</f>
        <v>2</v>
      </c>
      <c r="AI61" s="563" t="str">
        <f>IFERROR(INDEX('V10'!C$300:C$400,MATCH("*"&amp;L61&amp;"*",'V10'!B$300:B$400,0)),"  ")</f>
        <v xml:space="preserve">  </v>
      </c>
      <c r="AJ61" s="564" t="str">
        <f t="shared" si="62"/>
        <v/>
      </c>
      <c r="AK61" s="565">
        <f t="shared" si="63"/>
        <v>2</v>
      </c>
      <c r="AL61" s="566">
        <f t="shared" si="64"/>
        <v>55</v>
      </c>
      <c r="AM61" s="567" t="str">
        <f>IFERROR(INDEX(#REF!,MATCH("*"&amp;L61&amp;"*",#REF!,0)),"  ")</f>
        <v xml:space="preserve">  </v>
      </c>
      <c r="AN61" s="568">
        <f t="shared" si="65"/>
        <v>1</v>
      </c>
      <c r="AO61" s="469">
        <f t="shared" si="66"/>
        <v>0</v>
      </c>
      <c r="AP61" s="469">
        <f t="shared" si="67"/>
        <v>0</v>
      </c>
      <c r="AQ61" s="569"/>
      <c r="AR61" s="569"/>
      <c r="AS61" s="569"/>
      <c r="AT61" s="570">
        <f t="shared" si="68"/>
        <v>1E-4</v>
      </c>
      <c r="AU61" s="571">
        <f t="shared" si="69"/>
        <v>1E-4</v>
      </c>
      <c r="AV61" s="571">
        <f t="shared" si="70"/>
        <v>2.0000000000000001E-4</v>
      </c>
      <c r="AW61" s="571">
        <f t="shared" si="71"/>
        <v>2.9999999999999997E-4</v>
      </c>
      <c r="AX61" s="571">
        <f t="shared" si="72"/>
        <v>4.0000000000000002E-4</v>
      </c>
      <c r="AY61" s="571">
        <f t="shared" si="73"/>
        <v>5.0000000000000001E-4</v>
      </c>
      <c r="AZ61" s="571">
        <f t="shared" si="74"/>
        <v>5.9999999999999995E-4</v>
      </c>
      <c r="BA61" s="571">
        <f t="shared" si="75"/>
        <v>6.9999999999999999E-4</v>
      </c>
      <c r="BB61" s="571">
        <f t="shared" si="76"/>
        <v>8.0000000000000004E-4</v>
      </c>
      <c r="BC61" s="571">
        <f t="shared" si="77"/>
        <v>2.0009000000000001</v>
      </c>
      <c r="BD61" s="571">
        <f t="shared" si="78"/>
        <v>1E-3</v>
      </c>
      <c r="BE61" s="569"/>
      <c r="BF61" s="569"/>
      <c r="BG61" s="569"/>
      <c r="BH61" s="569"/>
      <c r="BI61" s="377" t="e">
        <f t="shared" si="79"/>
        <v>#VALUE!</v>
      </c>
      <c r="BJ61" s="377" t="e">
        <f t="shared" si="80"/>
        <v>#VALUE!</v>
      </c>
      <c r="BK61" s="377" t="e">
        <f t="shared" si="81"/>
        <v>#VALUE!</v>
      </c>
      <c r="BL61" s="377" t="e">
        <f t="shared" si="82"/>
        <v>#VALUE!</v>
      </c>
      <c r="BM61" s="377" t="e">
        <f t="shared" si="83"/>
        <v>#VALUE!</v>
      </c>
      <c r="BN61" s="377" t="e">
        <f t="shared" si="84"/>
        <v>#VALUE!</v>
      </c>
      <c r="BO61" s="377" t="e">
        <f t="shared" si="85"/>
        <v>#VALUE!</v>
      </c>
      <c r="BP61" s="377" t="e">
        <f t="shared" si="86"/>
        <v>#VALUE!</v>
      </c>
      <c r="BQ61" s="377">
        <f t="shared" si="87"/>
        <v>14</v>
      </c>
      <c r="BR61" s="377" t="e">
        <f t="shared" si="88"/>
        <v>#VALUE!</v>
      </c>
    </row>
    <row r="62" spans="1:70" ht="12.75" hidden="1" customHeight="1" x14ac:dyDescent="0.2">
      <c r="A62" s="484" t="str">
        <f t="shared" si="45"/>
        <v/>
      </c>
      <c r="B62" s="485">
        <f t="shared" si="46"/>
        <v>-886</v>
      </c>
      <c r="C62" s="486" t="str">
        <f t="shared" si="47"/>
        <v/>
      </c>
      <c r="D62" s="487">
        <f t="shared" si="48"/>
        <v>-886</v>
      </c>
      <c r="E62" s="488" t="str">
        <f t="shared" si="49"/>
        <v/>
      </c>
      <c r="F62" s="489">
        <f t="shared" si="50"/>
        <v>-886</v>
      </c>
      <c r="G62" s="490" t="str">
        <f t="shared" si="51"/>
        <v/>
      </c>
      <c r="H62" s="489">
        <f t="shared" si="52"/>
        <v>114</v>
      </c>
      <c r="I62" s="491" t="str">
        <f t="shared" si="53"/>
        <v/>
      </c>
      <c r="J62" s="554">
        <f t="shared" si="54"/>
        <v>-886</v>
      </c>
      <c r="K62" s="526" t="str">
        <f t="shared" si="55"/>
        <v/>
      </c>
      <c r="L62" s="573" t="s">
        <v>209</v>
      </c>
      <c r="M62" s="556" t="s">
        <v>170</v>
      </c>
      <c r="N62" s="557"/>
      <c r="O62" s="558"/>
      <c r="P62" s="559"/>
      <c r="Q62" s="560"/>
      <c r="R62" s="539">
        <f>(IF(COUNT(Z62,AA62,AB62,AC62,AD62,AE62,AF62,AG62,AH62,AI62)&lt;10,SUM(Z62,AA62,AB62,AC62,AD62,AE62,AF62,AG62,AH62,AI62),SUM(LARGE((Z62,AA62,AB62,AC62,AD62,AE62,AF62,AG62,AH62,AI62),{1;2;3;4;5;6;7;8;9}))))</f>
        <v>0</v>
      </c>
      <c r="S62" s="561" t="str">
        <f>INDEX([1]ETAPP!B$1:B$32,MATCH(COUNTIF(BI62:BR62,1),[1]ETAPP!A$1:A$32,0))&amp;INDEX([1]ETAPP!B$1:B$32,MATCH(COUNTIF(BI62:BR62,2),[1]ETAPP!A$1:A$32,0))&amp;INDEX([1]ETAPP!B$1:B$32,MATCH(COUNTIF(BI62:BR62,3),[1]ETAPP!A$1:A$32,0))&amp;INDEX([1]ETAPP!B$1:B$32,MATCH(COUNTIF(BI62:BR62,4),[1]ETAPP!A$1:A$32,0))&amp;INDEX([1]ETAPP!B$1:B$32,MATCH(COUNTIF(BI62:BR62,5),[1]ETAPP!A$1:A$32,0))&amp;INDEX([1]ETAPP!B$1:B$32,MATCH(COUNTIF(BI62:BR62,6),[1]ETAPP!A$1:A$32,0))&amp;INDEX([1]ETAPP!B$1:B$32,MATCH(COUNTIF(BI62:BR62,7),[1]ETAPP!A$1:A$32,0))&amp;INDEX([1]ETAPP!B$1:B$32,MATCH(COUNTIF(BI62:BR62,8),[1]ETAPP!A$1:A$32,0))&amp;INDEX([1]ETAPP!B$1:B$32,MATCH(COUNTIF(BI62:BR62,9),[1]ETAPP!A$1:A$32,0))&amp;INDEX([1]ETAPP!B$1:B$32,MATCH(COUNTIF(BI62:BR62,10),[1]ETAPP!A$1:A$32,0))&amp;INDEX([1]ETAPP!B$1:B$32,MATCH(COUNTIF(BI62:BR62,11),[1]ETAPP!A$1:A$32,0))&amp;INDEX([1]ETAPP!B$1:B$32,MATCH(COUNTIF(BI62:BR62,12),[1]ETAPP!A$1:A$32,0))&amp;INDEX([1]ETAPP!B$1:B$32,MATCH(COUNTIF(BI62:BR62,13),[1]ETAPP!A$1:A$32,0))&amp;INDEX([1]ETAPP!B$1:B$32,MATCH(COUNTIF(BI62:BR62,14),[1]ETAPP!A$1:A$32,0))&amp;INDEX([1]ETAPP!B$1:B$32,MATCH(COUNTIF(BI62:BR62,15),[1]ETAPP!A$1:A$32,0))&amp;INDEX([1]ETAPP!B$1:B$32,MATCH(COUNTIF(BI62:BR62,16),[1]ETAPP!A$1:A$32,0))&amp;INDEX([1]ETAPP!B$1:B$32,MATCH(COUNTIF(BI62:BR62,17),[1]ETAPP!A$1:A$32,0))&amp;INDEX([1]ETAPP!B$1:B$32,MATCH(COUNTIF(BI62:BR62,18),[1]ETAPP!A$1:A$32,0))&amp;INDEX([1]ETAPP!B$1:B$32,MATCH(COUNTIF(BI62:BR62,19),[1]ETAPP!A$1:A$32,0))&amp;INDEX([1]ETAPP!B$1:B$32,MATCH(COUNTIF(BI62:BR62,20),[1]ETAPP!A$1:A$32,0))&amp;INDEX([1]ETAPP!B$1:B$32,MATCH(COUNTIF(BI62:BR62,21),[1]ETAPP!A$1:A$32,0))</f>
        <v>000000000000000000000</v>
      </c>
      <c r="T62" s="561" t="str">
        <f t="shared" si="56"/>
        <v>000,0-000000000000000000000</v>
      </c>
      <c r="U62" s="561">
        <f t="shared" si="57"/>
        <v>114</v>
      </c>
      <c r="V62" s="561">
        <f t="shared" si="58"/>
        <v>112</v>
      </c>
      <c r="W62" s="561" t="str">
        <f t="shared" si="59"/>
        <v>000,0-000000000000000000000-112</v>
      </c>
      <c r="X62" s="561">
        <f t="shared" si="60"/>
        <v>56</v>
      </c>
      <c r="Y62" s="562">
        <f t="shared" si="61"/>
        <v>59</v>
      </c>
      <c r="Z62" s="563" t="str">
        <f>IFERROR(INDEX('V1'!C$300:C$400,MATCH("*"&amp;L62&amp;"*",'V1'!B$300:B$400,0)),"  ")</f>
        <v xml:space="preserve">  </v>
      </c>
      <c r="AA62" s="563" t="str">
        <f>IFERROR(INDEX('V2'!C$300:C$400,MATCH("*"&amp;L62&amp;"*",'V2'!B$300:B$400,0)),"  ")</f>
        <v xml:space="preserve">  </v>
      </c>
      <c r="AB62" s="563" t="str">
        <f>IFERROR(INDEX('V3'!C$300:C$400,MATCH("*"&amp;L62&amp;"*",'V3'!B$300:B$400,0)),"  ")</f>
        <v xml:space="preserve">  </v>
      </c>
      <c r="AC62" s="563" t="str">
        <f>IFERROR(INDEX('V4'!C$300:C$400,MATCH("*"&amp;L62&amp;"*",'V4'!B$300:B$400,0)),"  ")</f>
        <v xml:space="preserve">  </v>
      </c>
      <c r="AD62" s="563" t="str">
        <f>IFERROR(INDEX('V5'!C$300:C$400,MATCH("*"&amp;L62&amp;"*",'V5'!B$300:B$400,0)),"  ")</f>
        <v xml:space="preserve">  </v>
      </c>
      <c r="AE62" s="563" t="str">
        <f>IFERROR(INDEX('V6'!C$300:C$400,MATCH("*"&amp;L62&amp;"*",'V6'!B$300:B$400,0)),"  ")</f>
        <v xml:space="preserve">  </v>
      </c>
      <c r="AF62" s="563" t="str">
        <f>IFERROR(INDEX('V7'!C$300:C$400,MATCH("*"&amp;L62&amp;"*",'V7'!B$300:B$400,0)),"  ")</f>
        <v xml:space="preserve">  </v>
      </c>
      <c r="AG62" s="563" t="str">
        <f>IFERROR(INDEX('V8'!C$300:C$400,MATCH("*"&amp;L62&amp;"*",'V8'!B$300:B$400,0)),"  ")</f>
        <v xml:space="preserve">  </v>
      </c>
      <c r="AH62" s="563" t="str">
        <f>IFERROR(INDEX('V9'!C$300:C$400,MATCH("*"&amp;L62&amp;"*",'V9'!B$300:B$400,0)),"  ")</f>
        <v xml:space="preserve">  </v>
      </c>
      <c r="AI62" s="563" t="str">
        <f>IFERROR(INDEX('V10'!C$300:C$400,MATCH("*"&amp;L62&amp;"*",'V10'!B$300:B$400,0)),"  ")</f>
        <v xml:space="preserve">  </v>
      </c>
      <c r="AJ62" s="564" t="str">
        <f t="shared" si="62"/>
        <v/>
      </c>
      <c r="AK62" s="565">
        <f t="shared" si="63"/>
        <v>0</v>
      </c>
      <c r="AL62" s="566" t="str">
        <f t="shared" si="64"/>
        <v/>
      </c>
      <c r="AM62" s="567" t="str">
        <f>IFERROR(INDEX(#REF!,MATCH("*"&amp;L62&amp;"*",#REF!,0)),"  ")</f>
        <v xml:space="preserve">  </v>
      </c>
      <c r="AN62" s="568">
        <f t="shared" si="65"/>
        <v>0</v>
      </c>
      <c r="AO62" s="469">
        <f t="shared" si="66"/>
        <v>0</v>
      </c>
      <c r="AP62" s="469">
        <f t="shared" si="67"/>
        <v>0</v>
      </c>
      <c r="AQ62" s="569"/>
      <c r="AR62" s="569"/>
      <c r="AS62" s="569"/>
      <c r="AT62" s="570">
        <f t="shared" si="68"/>
        <v>1E-4</v>
      </c>
      <c r="AU62" s="571">
        <f t="shared" si="69"/>
        <v>1E-4</v>
      </c>
      <c r="AV62" s="571">
        <f t="shared" si="70"/>
        <v>2.0000000000000001E-4</v>
      </c>
      <c r="AW62" s="571">
        <f t="shared" si="71"/>
        <v>2.9999999999999997E-4</v>
      </c>
      <c r="AX62" s="571">
        <f t="shared" si="72"/>
        <v>4.0000000000000002E-4</v>
      </c>
      <c r="AY62" s="571">
        <f t="shared" si="73"/>
        <v>5.0000000000000001E-4</v>
      </c>
      <c r="AZ62" s="571">
        <f t="shared" si="74"/>
        <v>5.9999999999999995E-4</v>
      </c>
      <c r="BA62" s="571">
        <f t="shared" si="75"/>
        <v>6.9999999999999999E-4</v>
      </c>
      <c r="BB62" s="571">
        <f t="shared" si="76"/>
        <v>8.0000000000000004E-4</v>
      </c>
      <c r="BC62" s="571">
        <f t="shared" si="77"/>
        <v>8.9999999999999998E-4</v>
      </c>
      <c r="BD62" s="571">
        <f t="shared" si="78"/>
        <v>1E-3</v>
      </c>
      <c r="BE62" s="569"/>
      <c r="BF62" s="569"/>
      <c r="BG62" s="569"/>
      <c r="BH62" s="569"/>
      <c r="BI62" s="377" t="e">
        <f t="shared" si="79"/>
        <v>#VALUE!</v>
      </c>
      <c r="BJ62" s="377" t="e">
        <f t="shared" si="80"/>
        <v>#VALUE!</v>
      </c>
      <c r="BK62" s="377" t="e">
        <f t="shared" si="81"/>
        <v>#VALUE!</v>
      </c>
      <c r="BL62" s="377" t="e">
        <f t="shared" si="82"/>
        <v>#VALUE!</v>
      </c>
      <c r="BM62" s="377" t="e">
        <f t="shared" si="83"/>
        <v>#VALUE!</v>
      </c>
      <c r="BN62" s="377" t="e">
        <f t="shared" si="84"/>
        <v>#VALUE!</v>
      </c>
      <c r="BO62" s="377" t="e">
        <f t="shared" si="85"/>
        <v>#VALUE!</v>
      </c>
      <c r="BP62" s="377" t="e">
        <f t="shared" si="86"/>
        <v>#VALUE!</v>
      </c>
      <c r="BQ62" s="377" t="e">
        <f t="shared" si="87"/>
        <v>#VALUE!</v>
      </c>
      <c r="BR62" s="377" t="e">
        <f t="shared" si="88"/>
        <v>#VALUE!</v>
      </c>
    </row>
    <row r="63" spans="1:70" ht="12.75" hidden="1" customHeight="1" x14ac:dyDescent="0.2">
      <c r="A63" s="484" t="str">
        <f t="shared" si="45"/>
        <v/>
      </c>
      <c r="B63" s="485">
        <f t="shared" si="46"/>
        <v>114</v>
      </c>
      <c r="C63" s="486" t="str">
        <f t="shared" si="47"/>
        <v/>
      </c>
      <c r="D63" s="487">
        <f t="shared" si="48"/>
        <v>-886</v>
      </c>
      <c r="E63" s="488" t="str">
        <f t="shared" si="49"/>
        <v/>
      </c>
      <c r="F63" s="489">
        <f t="shared" si="50"/>
        <v>-886</v>
      </c>
      <c r="G63" s="490" t="str">
        <f t="shared" si="51"/>
        <v/>
      </c>
      <c r="H63" s="489">
        <f t="shared" si="52"/>
        <v>114</v>
      </c>
      <c r="I63" s="491" t="str">
        <f t="shared" si="53"/>
        <v/>
      </c>
      <c r="J63" s="554">
        <f t="shared" si="54"/>
        <v>114</v>
      </c>
      <c r="K63" s="526" t="str">
        <f t="shared" si="55"/>
        <v/>
      </c>
      <c r="L63" s="573" t="s">
        <v>197</v>
      </c>
      <c r="M63" s="556" t="s">
        <v>170</v>
      </c>
      <c r="N63" s="557"/>
      <c r="O63" s="579" t="s">
        <v>190</v>
      </c>
      <c r="P63" s="559"/>
      <c r="Q63" s="560" t="s">
        <v>148</v>
      </c>
      <c r="R63" s="539">
        <f>(IF(COUNT(Z63,AA63,AB63,AC63,AD63,AE63,AF63,AG63,AH63,AI63)&lt;10,SUM(Z63,AA63,AB63,AC63,AD63,AE63,AF63,AG63,AH63,AI63),SUM(LARGE((Z63,AA63,AB63,AC63,AD63,AE63,AF63,AG63,AH63,AI63),{1;2;3;4;5;6;7;8;9}))))</f>
        <v>0</v>
      </c>
      <c r="S63" s="561" t="str">
        <f>INDEX([1]ETAPP!B$1:B$32,MATCH(COUNTIF(BI63:BR63,1),[1]ETAPP!A$1:A$32,0))&amp;INDEX([1]ETAPP!B$1:B$32,MATCH(COUNTIF(BI63:BR63,2),[1]ETAPP!A$1:A$32,0))&amp;INDEX([1]ETAPP!B$1:B$32,MATCH(COUNTIF(BI63:BR63,3),[1]ETAPP!A$1:A$32,0))&amp;INDEX([1]ETAPP!B$1:B$32,MATCH(COUNTIF(BI63:BR63,4),[1]ETAPP!A$1:A$32,0))&amp;INDEX([1]ETAPP!B$1:B$32,MATCH(COUNTIF(BI63:BR63,5),[1]ETAPP!A$1:A$32,0))&amp;INDEX([1]ETAPP!B$1:B$32,MATCH(COUNTIF(BI63:BR63,6),[1]ETAPP!A$1:A$32,0))&amp;INDEX([1]ETAPP!B$1:B$32,MATCH(COUNTIF(BI63:BR63,7),[1]ETAPP!A$1:A$32,0))&amp;INDEX([1]ETAPP!B$1:B$32,MATCH(COUNTIF(BI63:BR63,8),[1]ETAPP!A$1:A$32,0))&amp;INDEX([1]ETAPP!B$1:B$32,MATCH(COUNTIF(BI63:BR63,9),[1]ETAPP!A$1:A$32,0))&amp;INDEX([1]ETAPP!B$1:B$32,MATCH(COUNTIF(BI63:BR63,10),[1]ETAPP!A$1:A$32,0))&amp;INDEX([1]ETAPP!B$1:B$32,MATCH(COUNTIF(BI63:BR63,11),[1]ETAPP!A$1:A$32,0))&amp;INDEX([1]ETAPP!B$1:B$32,MATCH(COUNTIF(BI63:BR63,12),[1]ETAPP!A$1:A$32,0))&amp;INDEX([1]ETAPP!B$1:B$32,MATCH(COUNTIF(BI63:BR63,13),[1]ETAPP!A$1:A$32,0))&amp;INDEX([1]ETAPP!B$1:B$32,MATCH(COUNTIF(BI63:BR63,14),[1]ETAPP!A$1:A$32,0))&amp;INDEX([1]ETAPP!B$1:B$32,MATCH(COUNTIF(BI63:BR63,15),[1]ETAPP!A$1:A$32,0))&amp;INDEX([1]ETAPP!B$1:B$32,MATCH(COUNTIF(BI63:BR63,16),[1]ETAPP!A$1:A$32,0))&amp;INDEX([1]ETAPP!B$1:B$32,MATCH(COUNTIF(BI63:BR63,17),[1]ETAPP!A$1:A$32,0))&amp;INDEX([1]ETAPP!B$1:B$32,MATCH(COUNTIF(BI63:BR63,18),[1]ETAPP!A$1:A$32,0))&amp;INDEX([1]ETAPP!B$1:B$32,MATCH(COUNTIF(BI63:BR63,19),[1]ETAPP!A$1:A$32,0))&amp;INDEX([1]ETAPP!B$1:B$32,MATCH(COUNTIF(BI63:BR63,20),[1]ETAPP!A$1:A$32,0))&amp;INDEX([1]ETAPP!B$1:B$32,MATCH(COUNTIF(BI63:BR63,21),[1]ETAPP!A$1:A$32,0))</f>
        <v>000000000000000000000</v>
      </c>
      <c r="T63" s="561" t="str">
        <f t="shared" si="56"/>
        <v>000,0-000000000000000000000</v>
      </c>
      <c r="U63" s="561">
        <f t="shared" si="57"/>
        <v>114</v>
      </c>
      <c r="V63" s="561">
        <f t="shared" si="58"/>
        <v>111</v>
      </c>
      <c r="W63" s="561" t="str">
        <f t="shared" si="59"/>
        <v>000,0-000000000000000000000-111</v>
      </c>
      <c r="X63" s="561">
        <f t="shared" si="60"/>
        <v>57</v>
      </c>
      <c r="Y63" s="562">
        <f t="shared" si="61"/>
        <v>58</v>
      </c>
      <c r="Z63" s="563" t="str">
        <f>IFERROR(INDEX('V1'!C$300:C$400,MATCH("*"&amp;L63&amp;"*",'V1'!B$300:B$400,0)),"  ")</f>
        <v xml:space="preserve">  </v>
      </c>
      <c r="AA63" s="563" t="str">
        <f>IFERROR(INDEX('V2'!C$300:C$400,MATCH("*"&amp;L63&amp;"*",'V2'!B$300:B$400,0)),"  ")</f>
        <v xml:space="preserve">  </v>
      </c>
      <c r="AB63" s="563" t="str">
        <f>IFERROR(INDEX('V3'!C$300:C$400,MATCH("*"&amp;L63&amp;"*",'V3'!B$300:B$400,0)),"  ")</f>
        <v xml:space="preserve">  </v>
      </c>
      <c r="AC63" s="563" t="str">
        <f>IFERROR(INDEX('V4'!C$300:C$400,MATCH("*"&amp;L63&amp;"*",'V4'!B$300:B$400,0)),"  ")</f>
        <v xml:space="preserve">  </v>
      </c>
      <c r="AD63" s="563" t="str">
        <f>IFERROR(INDEX('V5'!C$300:C$400,MATCH("*"&amp;L63&amp;"*",'V5'!B$300:B$400,0)),"  ")</f>
        <v xml:space="preserve">  </v>
      </c>
      <c r="AE63" s="563" t="str">
        <f>IFERROR(INDEX('V6'!C$300:C$400,MATCH("*"&amp;L63&amp;"*",'V6'!B$300:B$400,0)),"  ")</f>
        <v xml:space="preserve">  </v>
      </c>
      <c r="AF63" s="563" t="str">
        <f>IFERROR(INDEX('V7'!C$300:C$400,MATCH("*"&amp;L63&amp;"*",'V7'!B$300:B$400,0)),"  ")</f>
        <v xml:space="preserve">  </v>
      </c>
      <c r="AG63" s="563" t="str">
        <f>IFERROR(INDEX('V8'!C$300:C$400,MATCH("*"&amp;L63&amp;"*",'V8'!B$300:B$400,0)),"  ")</f>
        <v xml:space="preserve">  </v>
      </c>
      <c r="AH63" s="563" t="str">
        <f>IFERROR(INDEX('V9'!C$300:C$400,MATCH("*"&amp;L63&amp;"*",'V9'!B$300:B$400,0)),"  ")</f>
        <v xml:space="preserve">  </v>
      </c>
      <c r="AI63" s="563" t="str">
        <f>IFERROR(INDEX('V10'!C$300:C$400,MATCH("*"&amp;L63&amp;"*",'V10'!B$300:B$400,0)),"  ")</f>
        <v xml:space="preserve">  </v>
      </c>
      <c r="AJ63" s="564" t="str">
        <f t="shared" si="62"/>
        <v/>
      </c>
      <c r="AK63" s="565">
        <f t="shared" si="63"/>
        <v>0</v>
      </c>
      <c r="AL63" s="566" t="str">
        <f t="shared" si="64"/>
        <v/>
      </c>
      <c r="AM63" s="567" t="str">
        <f>IFERROR(INDEX(#REF!,MATCH("*"&amp;L63&amp;"*",#REF!,0)),"  ")</f>
        <v xml:space="preserve">  </v>
      </c>
      <c r="AN63" s="568">
        <f t="shared" si="65"/>
        <v>0</v>
      </c>
      <c r="AO63" s="469">
        <f t="shared" si="66"/>
        <v>0</v>
      </c>
      <c r="AP63" s="469">
        <f t="shared" si="67"/>
        <v>0</v>
      </c>
      <c r="AQ63" s="569"/>
      <c r="AR63" s="569"/>
      <c r="AS63" s="569"/>
      <c r="AT63" s="570">
        <f t="shared" si="68"/>
        <v>1E-4</v>
      </c>
      <c r="AU63" s="571">
        <f t="shared" si="69"/>
        <v>1E-4</v>
      </c>
      <c r="AV63" s="571">
        <f t="shared" si="70"/>
        <v>2.0000000000000001E-4</v>
      </c>
      <c r="AW63" s="571">
        <f t="shared" si="71"/>
        <v>2.9999999999999997E-4</v>
      </c>
      <c r="AX63" s="571">
        <f t="shared" si="72"/>
        <v>4.0000000000000002E-4</v>
      </c>
      <c r="AY63" s="571">
        <f t="shared" si="73"/>
        <v>5.0000000000000001E-4</v>
      </c>
      <c r="AZ63" s="571">
        <f t="shared" si="74"/>
        <v>5.9999999999999995E-4</v>
      </c>
      <c r="BA63" s="571">
        <f t="shared" si="75"/>
        <v>6.9999999999999999E-4</v>
      </c>
      <c r="BB63" s="571">
        <f t="shared" si="76"/>
        <v>8.0000000000000004E-4</v>
      </c>
      <c r="BC63" s="571">
        <f t="shared" si="77"/>
        <v>8.9999999999999998E-4</v>
      </c>
      <c r="BD63" s="571">
        <f t="shared" si="78"/>
        <v>1E-3</v>
      </c>
      <c r="BE63" s="569"/>
      <c r="BF63" s="569"/>
      <c r="BG63" s="569"/>
      <c r="BH63" s="569"/>
      <c r="BI63" s="377" t="e">
        <f t="shared" si="79"/>
        <v>#VALUE!</v>
      </c>
      <c r="BJ63" s="377" t="e">
        <f t="shared" si="80"/>
        <v>#VALUE!</v>
      </c>
      <c r="BK63" s="377" t="e">
        <f t="shared" si="81"/>
        <v>#VALUE!</v>
      </c>
      <c r="BL63" s="377" t="e">
        <f t="shared" si="82"/>
        <v>#VALUE!</v>
      </c>
      <c r="BM63" s="377" t="e">
        <f t="shared" si="83"/>
        <v>#VALUE!</v>
      </c>
      <c r="BN63" s="377" t="e">
        <f t="shared" si="84"/>
        <v>#VALUE!</v>
      </c>
      <c r="BO63" s="377" t="e">
        <f t="shared" si="85"/>
        <v>#VALUE!</v>
      </c>
      <c r="BP63" s="377" t="e">
        <f t="shared" si="86"/>
        <v>#VALUE!</v>
      </c>
      <c r="BQ63" s="377" t="e">
        <f t="shared" si="87"/>
        <v>#VALUE!</v>
      </c>
      <c r="BR63" s="377" t="e">
        <f t="shared" si="88"/>
        <v>#VALUE!</v>
      </c>
    </row>
    <row r="64" spans="1:70" ht="12.75" hidden="1" customHeight="1" x14ac:dyDescent="0.2">
      <c r="A64" s="484" t="str">
        <f t="shared" si="45"/>
        <v/>
      </c>
      <c r="B64" s="485">
        <f t="shared" si="46"/>
        <v>-886</v>
      </c>
      <c r="C64" s="486" t="str">
        <f t="shared" si="47"/>
        <v/>
      </c>
      <c r="D64" s="487">
        <f t="shared" si="48"/>
        <v>-886</v>
      </c>
      <c r="E64" s="488" t="str">
        <f t="shared" si="49"/>
        <v/>
      </c>
      <c r="F64" s="489">
        <f t="shared" si="50"/>
        <v>-886</v>
      </c>
      <c r="G64" s="490" t="str">
        <f t="shared" si="51"/>
        <v/>
      </c>
      <c r="H64" s="489">
        <f t="shared" si="52"/>
        <v>-886</v>
      </c>
      <c r="I64" s="491" t="str">
        <f t="shared" si="53"/>
        <v/>
      </c>
      <c r="J64" s="554">
        <f t="shared" si="54"/>
        <v>-886</v>
      </c>
      <c r="K64" s="526" t="str">
        <f t="shared" si="55"/>
        <v/>
      </c>
      <c r="L64" s="555" t="s">
        <v>276</v>
      </c>
      <c r="M64" s="556"/>
      <c r="N64" s="557"/>
      <c r="O64" s="579"/>
      <c r="P64" s="559"/>
      <c r="Q64" s="560"/>
      <c r="R64" s="539">
        <f>(IF(COUNT(Z64,AA64,AB64,AC64,AD64,AE64,AF64,AG64,AH64,AI64)&lt;10,SUM(Z64,AA64,AB64,AC64,AD64,AE64,AF64,AG64,AH64,AI64),SUM(LARGE((Z64,AA64,AB64,AC64,AD64,AE64,AF64,AG64,AH64,AI64),{1;2;3;4;5;6;7;8;9}))))</f>
        <v>0</v>
      </c>
      <c r="S64" s="561" t="str">
        <f>INDEX([1]ETAPP!B$1:B$32,MATCH(COUNTIF(BI64:BR64,1),[1]ETAPP!A$1:A$32,0))&amp;INDEX([1]ETAPP!B$1:B$32,MATCH(COUNTIF(BI64:BR64,2),[1]ETAPP!A$1:A$32,0))&amp;INDEX([1]ETAPP!B$1:B$32,MATCH(COUNTIF(BI64:BR64,3),[1]ETAPP!A$1:A$32,0))&amp;INDEX([1]ETAPP!B$1:B$32,MATCH(COUNTIF(BI64:BR64,4),[1]ETAPP!A$1:A$32,0))&amp;INDEX([1]ETAPP!B$1:B$32,MATCH(COUNTIF(BI64:BR64,5),[1]ETAPP!A$1:A$32,0))&amp;INDEX([1]ETAPP!B$1:B$32,MATCH(COUNTIF(BI64:BR64,6),[1]ETAPP!A$1:A$32,0))&amp;INDEX([1]ETAPP!B$1:B$32,MATCH(COUNTIF(BI64:BR64,7),[1]ETAPP!A$1:A$32,0))&amp;INDEX([1]ETAPP!B$1:B$32,MATCH(COUNTIF(BI64:BR64,8),[1]ETAPP!A$1:A$32,0))&amp;INDEX([1]ETAPP!B$1:B$32,MATCH(COUNTIF(BI64:BR64,9),[1]ETAPP!A$1:A$32,0))&amp;INDEX([1]ETAPP!B$1:B$32,MATCH(COUNTIF(BI64:BR64,10),[1]ETAPP!A$1:A$32,0))&amp;INDEX([1]ETAPP!B$1:B$32,MATCH(COUNTIF(BI64:BR64,11),[1]ETAPP!A$1:A$32,0))&amp;INDEX([1]ETAPP!B$1:B$32,MATCH(COUNTIF(BI64:BR64,12),[1]ETAPP!A$1:A$32,0))&amp;INDEX([1]ETAPP!B$1:B$32,MATCH(COUNTIF(BI64:BR64,13),[1]ETAPP!A$1:A$32,0))&amp;INDEX([1]ETAPP!B$1:B$32,MATCH(COUNTIF(BI64:BR64,14),[1]ETAPP!A$1:A$32,0))&amp;INDEX([1]ETAPP!B$1:B$32,MATCH(COUNTIF(BI64:BR64,15),[1]ETAPP!A$1:A$32,0))&amp;INDEX([1]ETAPP!B$1:B$32,MATCH(COUNTIF(BI64:BR64,16),[1]ETAPP!A$1:A$32,0))&amp;INDEX([1]ETAPP!B$1:B$32,MATCH(COUNTIF(BI64:BR64,17),[1]ETAPP!A$1:A$32,0))&amp;INDEX([1]ETAPP!B$1:B$32,MATCH(COUNTIF(BI64:BR64,18),[1]ETAPP!A$1:A$32,0))&amp;INDEX([1]ETAPP!B$1:B$32,MATCH(COUNTIF(BI64:BR64,19),[1]ETAPP!A$1:A$32,0))&amp;INDEX([1]ETAPP!B$1:B$32,MATCH(COUNTIF(BI64:BR64,20),[1]ETAPP!A$1:A$32,0))&amp;INDEX([1]ETAPP!B$1:B$32,MATCH(COUNTIF(BI64:BR64,21),[1]ETAPP!A$1:A$32,0))</f>
        <v>000000000000000000000</v>
      </c>
      <c r="T64" s="561" t="str">
        <f t="shared" si="56"/>
        <v>000,0-000000000000000000000</v>
      </c>
      <c r="U64" s="561">
        <f t="shared" si="57"/>
        <v>114</v>
      </c>
      <c r="V64" s="561">
        <f t="shared" si="58"/>
        <v>110</v>
      </c>
      <c r="W64" s="561" t="str">
        <f t="shared" si="59"/>
        <v>000,0-000000000000000000000-110</v>
      </c>
      <c r="X64" s="561">
        <f t="shared" si="60"/>
        <v>58</v>
      </c>
      <c r="Y64" s="562">
        <f t="shared" si="61"/>
        <v>57</v>
      </c>
      <c r="Z64" s="563" t="str">
        <f>IFERROR(INDEX('V1'!C$300:C$400,MATCH("*"&amp;L64&amp;"*",'V1'!B$300:B$400,0)),"  ")</f>
        <v xml:space="preserve">  </v>
      </c>
      <c r="AA64" s="563" t="str">
        <f>IFERROR(INDEX('V2'!C$300:C$400,MATCH("*"&amp;L64&amp;"*",'V2'!B$300:B$400,0)),"  ")</f>
        <v xml:space="preserve">  </v>
      </c>
      <c r="AB64" s="563" t="str">
        <f>IFERROR(INDEX('V3'!C$300:C$400,MATCH("*"&amp;L64&amp;"*",'V3'!B$300:B$400,0)),"  ")</f>
        <v xml:space="preserve">  </v>
      </c>
      <c r="AC64" s="563" t="str">
        <f>IFERROR(INDEX('V4'!C$300:C$400,MATCH("*"&amp;L64&amp;"*",'V4'!B$300:B$400,0)),"  ")</f>
        <v xml:space="preserve">  </v>
      </c>
      <c r="AD64" s="563" t="str">
        <f>IFERROR(INDEX('V5'!C$300:C$400,MATCH("*"&amp;L64&amp;"*",'V5'!B$300:B$400,0)),"  ")</f>
        <v xml:space="preserve">  </v>
      </c>
      <c r="AE64" s="563" t="str">
        <f>IFERROR(INDEX('V6'!C$300:C$400,MATCH("*"&amp;L64&amp;"*",'V6'!B$300:B$400,0)),"  ")</f>
        <v xml:space="preserve">  </v>
      </c>
      <c r="AF64" s="563" t="str">
        <f>IFERROR(INDEX('V7'!C$300:C$400,MATCH("*"&amp;L64&amp;"*",'V7'!B$300:B$400,0)),"  ")</f>
        <v xml:space="preserve">  </v>
      </c>
      <c r="AG64" s="563" t="str">
        <f>IFERROR(INDEX('V8'!C$300:C$400,MATCH("*"&amp;L64&amp;"*",'V8'!B$300:B$400,0)),"  ")</f>
        <v xml:space="preserve">  </v>
      </c>
      <c r="AH64" s="563" t="str">
        <f>IFERROR(INDEX('V9'!C$300:C$400,MATCH("*"&amp;L64&amp;"*",'V9'!B$300:B$400,0)),"  ")</f>
        <v xml:space="preserve">  </v>
      </c>
      <c r="AI64" s="563" t="str">
        <f>IFERROR(INDEX('V10'!C$300:C$400,MATCH("*"&amp;L64&amp;"*",'V10'!B$300:B$400,0)),"  ")</f>
        <v xml:space="preserve">  </v>
      </c>
      <c r="AJ64" s="564" t="str">
        <f t="shared" si="62"/>
        <v/>
      </c>
      <c r="AK64" s="565">
        <f t="shared" si="63"/>
        <v>0</v>
      </c>
      <c r="AL64" s="566" t="str">
        <f t="shared" si="64"/>
        <v/>
      </c>
      <c r="AM64" s="567" t="str">
        <f>IFERROR(INDEX(#REF!,MATCH("*"&amp;L64&amp;"*",#REF!,0)),"  ")</f>
        <v xml:space="preserve">  </v>
      </c>
      <c r="AN64" s="568">
        <f t="shared" si="65"/>
        <v>0</v>
      </c>
      <c r="AO64" s="469">
        <f t="shared" si="66"/>
        <v>0</v>
      </c>
      <c r="AP64" s="469">
        <f t="shared" si="67"/>
        <v>0</v>
      </c>
      <c r="AQ64" s="569"/>
      <c r="AR64" s="569"/>
      <c r="AS64" s="569"/>
      <c r="AT64" s="570">
        <f t="shared" si="68"/>
        <v>1E-4</v>
      </c>
      <c r="AU64" s="571">
        <f t="shared" si="69"/>
        <v>1E-4</v>
      </c>
      <c r="AV64" s="571">
        <f t="shared" si="70"/>
        <v>2.0000000000000001E-4</v>
      </c>
      <c r="AW64" s="571">
        <f t="shared" si="71"/>
        <v>2.9999999999999997E-4</v>
      </c>
      <c r="AX64" s="571">
        <f t="shared" si="72"/>
        <v>4.0000000000000002E-4</v>
      </c>
      <c r="AY64" s="571">
        <f t="shared" si="73"/>
        <v>5.0000000000000001E-4</v>
      </c>
      <c r="AZ64" s="571">
        <f t="shared" si="74"/>
        <v>5.9999999999999995E-4</v>
      </c>
      <c r="BA64" s="571">
        <f t="shared" si="75"/>
        <v>6.9999999999999999E-4</v>
      </c>
      <c r="BB64" s="571">
        <f t="shared" si="76"/>
        <v>8.0000000000000004E-4</v>
      </c>
      <c r="BC64" s="571">
        <f t="shared" si="77"/>
        <v>8.9999999999999998E-4</v>
      </c>
      <c r="BD64" s="571">
        <f t="shared" si="78"/>
        <v>1E-3</v>
      </c>
      <c r="BE64" s="569"/>
      <c r="BF64" s="569"/>
      <c r="BG64" s="569"/>
      <c r="BH64" s="569"/>
      <c r="BI64" s="377" t="e">
        <f t="shared" si="79"/>
        <v>#VALUE!</v>
      </c>
      <c r="BJ64" s="377" t="e">
        <f t="shared" si="80"/>
        <v>#VALUE!</v>
      </c>
      <c r="BK64" s="377" t="e">
        <f t="shared" si="81"/>
        <v>#VALUE!</v>
      </c>
      <c r="BL64" s="377" t="e">
        <f t="shared" si="82"/>
        <v>#VALUE!</v>
      </c>
      <c r="BM64" s="377" t="e">
        <f t="shared" si="83"/>
        <v>#VALUE!</v>
      </c>
      <c r="BN64" s="377" t="e">
        <f t="shared" si="84"/>
        <v>#VALUE!</v>
      </c>
      <c r="BO64" s="377" t="e">
        <f t="shared" si="85"/>
        <v>#VALUE!</v>
      </c>
      <c r="BP64" s="377" t="e">
        <f t="shared" si="86"/>
        <v>#VALUE!</v>
      </c>
      <c r="BQ64" s="377" t="e">
        <f t="shared" si="87"/>
        <v>#VALUE!</v>
      </c>
      <c r="BR64" s="377" t="e">
        <f t="shared" si="88"/>
        <v>#VALUE!</v>
      </c>
    </row>
    <row r="65" spans="1:70" ht="12.75" hidden="1" customHeight="1" x14ac:dyDescent="0.2">
      <c r="A65" s="484" t="str">
        <f t="shared" si="45"/>
        <v/>
      </c>
      <c r="B65" s="485">
        <f t="shared" si="46"/>
        <v>-886</v>
      </c>
      <c r="C65" s="486" t="str">
        <f t="shared" si="47"/>
        <v/>
      </c>
      <c r="D65" s="487">
        <f t="shared" si="48"/>
        <v>-886</v>
      </c>
      <c r="E65" s="488" t="str">
        <f t="shared" si="49"/>
        <v/>
      </c>
      <c r="F65" s="489">
        <f t="shared" si="50"/>
        <v>114</v>
      </c>
      <c r="G65" s="490" t="str">
        <f t="shared" si="51"/>
        <v/>
      </c>
      <c r="H65" s="489">
        <f t="shared" si="52"/>
        <v>-886</v>
      </c>
      <c r="I65" s="491" t="str">
        <f t="shared" si="53"/>
        <v/>
      </c>
      <c r="J65" s="554">
        <f t="shared" si="54"/>
        <v>-886</v>
      </c>
      <c r="K65" s="526" t="str">
        <f t="shared" si="55"/>
        <v/>
      </c>
      <c r="L65" s="573" t="s">
        <v>277</v>
      </c>
      <c r="M65" s="556"/>
      <c r="N65" s="557" t="s">
        <v>168</v>
      </c>
      <c r="O65" s="558"/>
      <c r="P65" s="559"/>
      <c r="Q65" s="560" t="s">
        <v>268</v>
      </c>
      <c r="R65" s="539">
        <f>(IF(COUNT(Z65,AA65,AB65,AC65,AD65,AE65,AF65,AG65,AH65,AI65)&lt;10,SUM(Z65,AA65,AB65,AC65,AD65,AE65,AF65,AG65,AH65,AI65),SUM(LARGE((Z65,AA65,AB65,AC65,AD65,AE65,AF65,AG65,AH65,AI65),{1;2;3;4;5;6;7;8;9}))))</f>
        <v>0</v>
      </c>
      <c r="S65" s="561" t="str">
        <f>INDEX([1]ETAPP!B$1:B$32,MATCH(COUNTIF(BI65:BR65,1),[1]ETAPP!A$1:A$32,0))&amp;INDEX([1]ETAPP!B$1:B$32,MATCH(COUNTIF(BI65:BR65,2),[1]ETAPP!A$1:A$32,0))&amp;INDEX([1]ETAPP!B$1:B$32,MATCH(COUNTIF(BI65:BR65,3),[1]ETAPP!A$1:A$32,0))&amp;INDEX([1]ETAPP!B$1:B$32,MATCH(COUNTIF(BI65:BR65,4),[1]ETAPP!A$1:A$32,0))&amp;INDEX([1]ETAPP!B$1:B$32,MATCH(COUNTIF(BI65:BR65,5),[1]ETAPP!A$1:A$32,0))&amp;INDEX([1]ETAPP!B$1:B$32,MATCH(COUNTIF(BI65:BR65,6),[1]ETAPP!A$1:A$32,0))&amp;INDEX([1]ETAPP!B$1:B$32,MATCH(COUNTIF(BI65:BR65,7),[1]ETAPP!A$1:A$32,0))&amp;INDEX([1]ETAPP!B$1:B$32,MATCH(COUNTIF(BI65:BR65,8),[1]ETAPP!A$1:A$32,0))&amp;INDEX([1]ETAPP!B$1:B$32,MATCH(COUNTIF(BI65:BR65,9),[1]ETAPP!A$1:A$32,0))&amp;INDEX([1]ETAPP!B$1:B$32,MATCH(COUNTIF(BI65:BR65,10),[1]ETAPP!A$1:A$32,0))&amp;INDEX([1]ETAPP!B$1:B$32,MATCH(COUNTIF(BI65:BR65,11),[1]ETAPP!A$1:A$32,0))&amp;INDEX([1]ETAPP!B$1:B$32,MATCH(COUNTIF(BI65:BR65,12),[1]ETAPP!A$1:A$32,0))&amp;INDEX([1]ETAPP!B$1:B$32,MATCH(COUNTIF(BI65:BR65,13),[1]ETAPP!A$1:A$32,0))&amp;INDEX([1]ETAPP!B$1:B$32,MATCH(COUNTIF(BI65:BR65,14),[1]ETAPP!A$1:A$32,0))&amp;INDEX([1]ETAPP!B$1:B$32,MATCH(COUNTIF(BI65:BR65,15),[1]ETAPP!A$1:A$32,0))&amp;INDEX([1]ETAPP!B$1:B$32,MATCH(COUNTIF(BI65:BR65,16),[1]ETAPP!A$1:A$32,0))&amp;INDEX([1]ETAPP!B$1:B$32,MATCH(COUNTIF(BI65:BR65,17),[1]ETAPP!A$1:A$32,0))&amp;INDEX([1]ETAPP!B$1:B$32,MATCH(COUNTIF(BI65:BR65,18),[1]ETAPP!A$1:A$32,0))&amp;INDEX([1]ETAPP!B$1:B$32,MATCH(COUNTIF(BI65:BR65,19),[1]ETAPP!A$1:A$32,0))&amp;INDEX([1]ETAPP!B$1:B$32,MATCH(COUNTIF(BI65:BR65,20),[1]ETAPP!A$1:A$32,0))&amp;INDEX([1]ETAPP!B$1:B$32,MATCH(COUNTIF(BI65:BR65,21),[1]ETAPP!A$1:A$32,0))</f>
        <v>000000000000000000000</v>
      </c>
      <c r="T65" s="561" t="str">
        <f t="shared" si="56"/>
        <v>000,0-000000000000000000000</v>
      </c>
      <c r="U65" s="561">
        <f t="shared" si="57"/>
        <v>114</v>
      </c>
      <c r="V65" s="561">
        <f t="shared" si="58"/>
        <v>109</v>
      </c>
      <c r="W65" s="561" t="str">
        <f t="shared" si="59"/>
        <v>000,0-000000000000000000000-109</v>
      </c>
      <c r="X65" s="561">
        <f t="shared" si="60"/>
        <v>59</v>
      </c>
      <c r="Y65" s="562">
        <f t="shared" si="61"/>
        <v>56</v>
      </c>
      <c r="Z65" s="563" t="str">
        <f>IFERROR(INDEX('V1'!C$300:C$400,MATCH("*"&amp;L65&amp;"*",'V1'!B$300:B$400,0)),"  ")</f>
        <v xml:space="preserve">  </v>
      </c>
      <c r="AA65" s="563" t="str">
        <f>IFERROR(INDEX('V2'!C$300:C$400,MATCH("*"&amp;L65&amp;"*",'V2'!B$300:B$400,0)),"  ")</f>
        <v xml:space="preserve">  </v>
      </c>
      <c r="AB65" s="563" t="str">
        <f>IFERROR(INDEX('V3'!C$300:C$400,MATCH("*"&amp;L65&amp;"*",'V3'!B$300:B$400,0)),"  ")</f>
        <v xml:space="preserve">  </v>
      </c>
      <c r="AC65" s="563" t="str">
        <f>IFERROR(INDEX('V4'!C$300:C$400,MATCH("*"&amp;L65&amp;"*",'V4'!B$300:B$400,0)),"  ")</f>
        <v xml:space="preserve">  </v>
      </c>
      <c r="AD65" s="563" t="str">
        <f>IFERROR(INDEX('V5'!C$300:C$400,MATCH("*"&amp;L65&amp;"*",'V5'!B$300:B$400,0)),"  ")</f>
        <v xml:space="preserve">  </v>
      </c>
      <c r="AE65" s="563" t="str">
        <f>IFERROR(INDEX('V6'!C$300:C$400,MATCH("*"&amp;L65&amp;"*",'V6'!B$300:B$400,0)),"  ")</f>
        <v xml:space="preserve">  </v>
      </c>
      <c r="AF65" s="563" t="str">
        <f>IFERROR(INDEX('V7'!C$300:C$400,MATCH("*"&amp;L65&amp;"*",'V7'!B$300:B$400,0)),"  ")</f>
        <v xml:space="preserve">  </v>
      </c>
      <c r="AG65" s="563" t="str">
        <f>IFERROR(INDEX('V8'!C$300:C$400,MATCH("*"&amp;L65&amp;"*",'V8'!B$300:B$400,0)),"  ")</f>
        <v xml:space="preserve">  </v>
      </c>
      <c r="AH65" s="563" t="str">
        <f>IFERROR(INDEX('V9'!C$300:C$400,MATCH("*"&amp;L65&amp;"*",'V9'!B$300:B$400,0)),"  ")</f>
        <v xml:space="preserve">  </v>
      </c>
      <c r="AI65" s="563" t="str">
        <f>IFERROR(INDEX('V10'!C$300:C$400,MATCH("*"&amp;L65&amp;"*",'V10'!B$300:B$400,0)),"  ")</f>
        <v xml:space="preserve">  </v>
      </c>
      <c r="AJ65" s="564" t="str">
        <f t="shared" si="62"/>
        <v/>
      </c>
      <c r="AK65" s="565">
        <f t="shared" si="63"/>
        <v>0</v>
      </c>
      <c r="AL65" s="566" t="str">
        <f t="shared" si="64"/>
        <v/>
      </c>
      <c r="AM65" s="567" t="str">
        <f>IFERROR(INDEX(#REF!,MATCH("*"&amp;L65&amp;"*",#REF!,0)),"  ")</f>
        <v xml:space="preserve">  </v>
      </c>
      <c r="AN65" s="568">
        <f t="shared" si="65"/>
        <v>0</v>
      </c>
      <c r="AO65" s="469">
        <f t="shared" si="66"/>
        <v>0</v>
      </c>
      <c r="AP65" s="469">
        <f t="shared" si="67"/>
        <v>0</v>
      </c>
      <c r="AQ65" s="569"/>
      <c r="AR65" s="569"/>
      <c r="AS65" s="569"/>
      <c r="AT65" s="570">
        <f t="shared" si="68"/>
        <v>1E-4</v>
      </c>
      <c r="AU65" s="571">
        <f t="shared" si="69"/>
        <v>1E-4</v>
      </c>
      <c r="AV65" s="571">
        <f t="shared" si="70"/>
        <v>2.0000000000000001E-4</v>
      </c>
      <c r="AW65" s="571">
        <f t="shared" si="71"/>
        <v>2.9999999999999997E-4</v>
      </c>
      <c r="AX65" s="571">
        <f t="shared" si="72"/>
        <v>4.0000000000000002E-4</v>
      </c>
      <c r="AY65" s="571">
        <f t="shared" si="73"/>
        <v>5.0000000000000001E-4</v>
      </c>
      <c r="AZ65" s="571">
        <f t="shared" si="74"/>
        <v>5.9999999999999995E-4</v>
      </c>
      <c r="BA65" s="571">
        <f t="shared" si="75"/>
        <v>6.9999999999999999E-4</v>
      </c>
      <c r="BB65" s="571">
        <f t="shared" si="76"/>
        <v>8.0000000000000004E-4</v>
      </c>
      <c r="BC65" s="571">
        <f t="shared" si="77"/>
        <v>8.9999999999999998E-4</v>
      </c>
      <c r="BD65" s="571">
        <f t="shared" si="78"/>
        <v>1E-3</v>
      </c>
      <c r="BE65" s="569"/>
      <c r="BF65" s="569"/>
      <c r="BG65" s="569"/>
      <c r="BH65" s="569"/>
      <c r="BI65" s="377" t="e">
        <f t="shared" si="79"/>
        <v>#VALUE!</v>
      </c>
      <c r="BJ65" s="377" t="e">
        <f t="shared" si="80"/>
        <v>#VALUE!</v>
      </c>
      <c r="BK65" s="377" t="e">
        <f t="shared" si="81"/>
        <v>#VALUE!</v>
      </c>
      <c r="BL65" s="377" t="e">
        <f t="shared" si="82"/>
        <v>#VALUE!</v>
      </c>
      <c r="BM65" s="377" t="e">
        <f t="shared" si="83"/>
        <v>#VALUE!</v>
      </c>
      <c r="BN65" s="377" t="e">
        <f t="shared" si="84"/>
        <v>#VALUE!</v>
      </c>
      <c r="BO65" s="377" t="e">
        <f t="shared" si="85"/>
        <v>#VALUE!</v>
      </c>
      <c r="BP65" s="377" t="e">
        <f t="shared" si="86"/>
        <v>#VALUE!</v>
      </c>
      <c r="BQ65" s="377" t="e">
        <f t="shared" si="87"/>
        <v>#VALUE!</v>
      </c>
      <c r="BR65" s="377" t="e">
        <f t="shared" si="88"/>
        <v>#VALUE!</v>
      </c>
    </row>
    <row r="66" spans="1:70" ht="12.75" hidden="1" customHeight="1" x14ac:dyDescent="0.2">
      <c r="A66" s="484" t="str">
        <f t="shared" si="45"/>
        <v/>
      </c>
      <c r="B66" s="485">
        <f t="shared" si="46"/>
        <v>-886</v>
      </c>
      <c r="C66" s="486" t="str">
        <f t="shared" si="47"/>
        <v/>
      </c>
      <c r="D66" s="487">
        <f t="shared" si="48"/>
        <v>-886</v>
      </c>
      <c r="E66" s="488" t="str">
        <f t="shared" si="49"/>
        <v/>
      </c>
      <c r="F66" s="489">
        <f t="shared" si="50"/>
        <v>114</v>
      </c>
      <c r="G66" s="490" t="str">
        <f t="shared" si="51"/>
        <v/>
      </c>
      <c r="H66" s="489">
        <f t="shared" si="52"/>
        <v>-886</v>
      </c>
      <c r="I66" s="491" t="str">
        <f t="shared" si="53"/>
        <v/>
      </c>
      <c r="J66" s="554">
        <f t="shared" si="54"/>
        <v>-886</v>
      </c>
      <c r="K66" s="526" t="str">
        <f t="shared" si="55"/>
        <v/>
      </c>
      <c r="L66" s="573" t="s">
        <v>210</v>
      </c>
      <c r="M66" s="556"/>
      <c r="N66" s="557" t="str">
        <f>IF(M66="","m","")</f>
        <v>m</v>
      </c>
      <c r="O66" s="558"/>
      <c r="P66" s="559"/>
      <c r="Q66" s="560"/>
      <c r="R66" s="539">
        <f>(IF(COUNT(Z66,AA66,AB66,AC66,AD66,AE66,AF66,AG66,AH66,AI66)&lt;10,SUM(Z66,AA66,AB66,AC66,AD66,AE66,AF66,AG66,AH66,AI66),SUM(LARGE((Z66,AA66,AB66,AC66,AD66,AE66,AF66,AG66,AH66,AI66),{1;2;3;4;5;6;7;8;9}))))</f>
        <v>0</v>
      </c>
      <c r="S66" s="561" t="str">
        <f>INDEX([1]ETAPP!B$1:B$32,MATCH(COUNTIF(BI66:BR66,1),[1]ETAPP!A$1:A$32,0))&amp;INDEX([1]ETAPP!B$1:B$32,MATCH(COUNTIF(BI66:BR66,2),[1]ETAPP!A$1:A$32,0))&amp;INDEX([1]ETAPP!B$1:B$32,MATCH(COUNTIF(BI66:BR66,3),[1]ETAPP!A$1:A$32,0))&amp;INDEX([1]ETAPP!B$1:B$32,MATCH(COUNTIF(BI66:BR66,4),[1]ETAPP!A$1:A$32,0))&amp;INDEX([1]ETAPP!B$1:B$32,MATCH(COUNTIF(BI66:BR66,5),[1]ETAPP!A$1:A$32,0))&amp;INDEX([1]ETAPP!B$1:B$32,MATCH(COUNTIF(BI66:BR66,6),[1]ETAPP!A$1:A$32,0))&amp;INDEX([1]ETAPP!B$1:B$32,MATCH(COUNTIF(BI66:BR66,7),[1]ETAPP!A$1:A$32,0))&amp;INDEX([1]ETAPP!B$1:B$32,MATCH(COUNTIF(BI66:BR66,8),[1]ETAPP!A$1:A$32,0))&amp;INDEX([1]ETAPP!B$1:B$32,MATCH(COUNTIF(BI66:BR66,9),[1]ETAPP!A$1:A$32,0))&amp;INDEX([1]ETAPP!B$1:B$32,MATCH(COUNTIF(BI66:BR66,10),[1]ETAPP!A$1:A$32,0))&amp;INDEX([1]ETAPP!B$1:B$32,MATCH(COUNTIF(BI66:BR66,11),[1]ETAPP!A$1:A$32,0))&amp;INDEX([1]ETAPP!B$1:B$32,MATCH(COUNTIF(BI66:BR66,12),[1]ETAPP!A$1:A$32,0))&amp;INDEX([1]ETAPP!B$1:B$32,MATCH(COUNTIF(BI66:BR66,13),[1]ETAPP!A$1:A$32,0))&amp;INDEX([1]ETAPP!B$1:B$32,MATCH(COUNTIF(BI66:BR66,14),[1]ETAPP!A$1:A$32,0))&amp;INDEX([1]ETAPP!B$1:B$32,MATCH(COUNTIF(BI66:BR66,15),[1]ETAPP!A$1:A$32,0))&amp;INDEX([1]ETAPP!B$1:B$32,MATCH(COUNTIF(BI66:BR66,16),[1]ETAPP!A$1:A$32,0))&amp;INDEX([1]ETAPP!B$1:B$32,MATCH(COUNTIF(BI66:BR66,17),[1]ETAPP!A$1:A$32,0))&amp;INDEX([1]ETAPP!B$1:B$32,MATCH(COUNTIF(BI66:BR66,18),[1]ETAPP!A$1:A$32,0))&amp;INDEX([1]ETAPP!B$1:B$32,MATCH(COUNTIF(BI66:BR66,19),[1]ETAPP!A$1:A$32,0))&amp;INDEX([1]ETAPP!B$1:B$32,MATCH(COUNTIF(BI66:BR66,20),[1]ETAPP!A$1:A$32,0))&amp;INDEX([1]ETAPP!B$1:B$32,MATCH(COUNTIF(BI66:BR66,21),[1]ETAPP!A$1:A$32,0))</f>
        <v>000000000000000000000</v>
      </c>
      <c r="T66" s="561" t="str">
        <f t="shared" si="56"/>
        <v>000,0-000000000000000000000</v>
      </c>
      <c r="U66" s="561">
        <f t="shared" si="57"/>
        <v>114</v>
      </c>
      <c r="V66" s="561">
        <f t="shared" si="58"/>
        <v>107</v>
      </c>
      <c r="W66" s="561" t="str">
        <f t="shared" si="59"/>
        <v>000,0-000000000000000000000-107</v>
      </c>
      <c r="X66" s="561">
        <f t="shared" si="60"/>
        <v>60</v>
      </c>
      <c r="Y66" s="562">
        <f t="shared" si="61"/>
        <v>55</v>
      </c>
      <c r="Z66" s="563" t="str">
        <f>IFERROR(INDEX('V1'!C$300:C$400,MATCH("*"&amp;L66&amp;"*",'V1'!B$300:B$400,0)),"  ")</f>
        <v xml:space="preserve">  </v>
      </c>
      <c r="AA66" s="563" t="str">
        <f>IFERROR(INDEX('V2'!C$300:C$400,MATCH("*"&amp;L66&amp;"*",'V2'!B$300:B$400,0)),"  ")</f>
        <v xml:space="preserve">  </v>
      </c>
      <c r="AB66" s="563" t="str">
        <f>IFERROR(INDEX('V3'!C$300:C$400,MATCH("*"&amp;L66&amp;"*",'V3'!B$300:B$400,0)),"  ")</f>
        <v xml:space="preserve">  </v>
      </c>
      <c r="AC66" s="563" t="str">
        <f>IFERROR(INDEX('V4'!C$300:C$400,MATCH("*"&amp;L66&amp;"*",'V4'!B$300:B$400,0)),"  ")</f>
        <v xml:space="preserve">  </v>
      </c>
      <c r="AD66" s="563" t="str">
        <f>IFERROR(INDEX('V5'!C$300:C$400,MATCH("*"&amp;L66&amp;"*",'V5'!B$300:B$400,0)),"  ")</f>
        <v xml:space="preserve">  </v>
      </c>
      <c r="AE66" s="563" t="str">
        <f>IFERROR(INDEX('V6'!C$300:C$400,MATCH("*"&amp;L66&amp;"*",'V6'!B$300:B$400,0)),"  ")</f>
        <v xml:space="preserve">  </v>
      </c>
      <c r="AF66" s="563" t="str">
        <f>IFERROR(INDEX('V7'!C$300:C$400,MATCH("*"&amp;L66&amp;"*",'V7'!B$300:B$400,0)),"  ")</f>
        <v xml:space="preserve">  </v>
      </c>
      <c r="AG66" s="563" t="str">
        <f>IFERROR(INDEX('V8'!C$300:C$400,MATCH("*"&amp;L66&amp;"*",'V8'!B$300:B$400,0)),"  ")</f>
        <v xml:space="preserve">  </v>
      </c>
      <c r="AH66" s="563" t="str">
        <f>IFERROR(INDEX('V9'!C$300:C$400,MATCH("*"&amp;L66&amp;"*",'V9'!B$300:B$400,0)),"  ")</f>
        <v xml:space="preserve">  </v>
      </c>
      <c r="AI66" s="563" t="str">
        <f>IFERROR(INDEX('V10'!C$300:C$400,MATCH("*"&amp;L66&amp;"*",'V10'!B$300:B$400,0)),"  ")</f>
        <v xml:space="preserve">  </v>
      </c>
      <c r="AJ66" s="564" t="str">
        <f t="shared" si="62"/>
        <v/>
      </c>
      <c r="AK66" s="565">
        <f t="shared" si="63"/>
        <v>0</v>
      </c>
      <c r="AL66" s="566" t="str">
        <f t="shared" si="64"/>
        <v/>
      </c>
      <c r="AM66" s="567" t="str">
        <f>IFERROR(INDEX(#REF!,MATCH("*"&amp;L66&amp;"*",#REF!,0)),"  ")</f>
        <v xml:space="preserve">  </v>
      </c>
      <c r="AN66" s="568">
        <f t="shared" si="65"/>
        <v>0</v>
      </c>
      <c r="AO66" s="469">
        <f t="shared" si="66"/>
        <v>0</v>
      </c>
      <c r="AP66" s="469">
        <f t="shared" si="67"/>
        <v>0</v>
      </c>
      <c r="AQ66" s="569"/>
      <c r="AR66" s="569"/>
      <c r="AS66" s="569"/>
      <c r="AT66" s="570">
        <f t="shared" si="68"/>
        <v>1E-4</v>
      </c>
      <c r="AU66" s="571">
        <f t="shared" si="69"/>
        <v>1E-4</v>
      </c>
      <c r="AV66" s="571">
        <f t="shared" si="70"/>
        <v>2.0000000000000001E-4</v>
      </c>
      <c r="AW66" s="571">
        <f t="shared" si="71"/>
        <v>2.9999999999999997E-4</v>
      </c>
      <c r="AX66" s="571">
        <f t="shared" si="72"/>
        <v>4.0000000000000002E-4</v>
      </c>
      <c r="AY66" s="571">
        <f t="shared" si="73"/>
        <v>5.0000000000000001E-4</v>
      </c>
      <c r="AZ66" s="571">
        <f t="shared" si="74"/>
        <v>5.9999999999999995E-4</v>
      </c>
      <c r="BA66" s="571">
        <f t="shared" si="75"/>
        <v>6.9999999999999999E-4</v>
      </c>
      <c r="BB66" s="571">
        <f t="shared" si="76"/>
        <v>8.0000000000000004E-4</v>
      </c>
      <c r="BC66" s="571">
        <f t="shared" si="77"/>
        <v>8.9999999999999998E-4</v>
      </c>
      <c r="BD66" s="571">
        <f t="shared" si="78"/>
        <v>1E-3</v>
      </c>
      <c r="BE66" s="569"/>
      <c r="BF66" s="569"/>
      <c r="BG66" s="569"/>
      <c r="BH66" s="569"/>
      <c r="BI66" s="377" t="e">
        <f t="shared" si="79"/>
        <v>#VALUE!</v>
      </c>
      <c r="BJ66" s="377" t="e">
        <f t="shared" si="80"/>
        <v>#VALUE!</v>
      </c>
      <c r="BK66" s="377" t="e">
        <f t="shared" si="81"/>
        <v>#VALUE!</v>
      </c>
      <c r="BL66" s="377" t="e">
        <f t="shared" si="82"/>
        <v>#VALUE!</v>
      </c>
      <c r="BM66" s="377" t="e">
        <f t="shared" si="83"/>
        <v>#VALUE!</v>
      </c>
      <c r="BN66" s="377" t="e">
        <f t="shared" si="84"/>
        <v>#VALUE!</v>
      </c>
      <c r="BO66" s="377" t="e">
        <f t="shared" si="85"/>
        <v>#VALUE!</v>
      </c>
      <c r="BP66" s="377" t="e">
        <f t="shared" si="86"/>
        <v>#VALUE!</v>
      </c>
      <c r="BQ66" s="377" t="e">
        <f t="shared" si="87"/>
        <v>#VALUE!</v>
      </c>
      <c r="BR66" s="377" t="e">
        <f t="shared" si="88"/>
        <v>#VALUE!</v>
      </c>
    </row>
    <row r="67" spans="1:70" ht="12.75" hidden="1" customHeight="1" x14ac:dyDescent="0.2">
      <c r="A67" s="484" t="str">
        <f t="shared" si="45"/>
        <v/>
      </c>
      <c r="B67" s="485">
        <f t="shared" si="46"/>
        <v>-886</v>
      </c>
      <c r="C67" s="486" t="str">
        <f t="shared" si="47"/>
        <v/>
      </c>
      <c r="D67" s="487">
        <f t="shared" si="48"/>
        <v>-886</v>
      </c>
      <c r="E67" s="488" t="str">
        <f t="shared" si="49"/>
        <v/>
      </c>
      <c r="F67" s="489">
        <f t="shared" si="50"/>
        <v>114</v>
      </c>
      <c r="G67" s="490" t="str">
        <f t="shared" si="51"/>
        <v/>
      </c>
      <c r="H67" s="489">
        <f t="shared" si="52"/>
        <v>-886</v>
      </c>
      <c r="I67" s="491" t="str">
        <f t="shared" si="53"/>
        <v/>
      </c>
      <c r="J67" s="554">
        <f t="shared" si="54"/>
        <v>-886</v>
      </c>
      <c r="K67" s="526" t="str">
        <f t="shared" si="55"/>
        <v/>
      </c>
      <c r="L67" s="555" t="s">
        <v>211</v>
      </c>
      <c r="M67" s="556"/>
      <c r="N67" s="557" t="str">
        <f>IF(M67="","m","")</f>
        <v>m</v>
      </c>
      <c r="O67" s="558"/>
      <c r="P67" s="559"/>
      <c r="Q67" s="560"/>
      <c r="R67" s="539">
        <f>(IF(COUNT(Z67,AA67,AB67,AC67,AD67,AE67,AF67,AG67,AH67,AI67)&lt;10,SUM(Z67,AA67,AB67,AC67,AD67,AE67,AF67,AG67,AH67,AI67),SUM(LARGE((Z67,AA67,AB67,AC67,AD67,AE67,AF67,AG67,AH67,AI67),{1;2;3;4;5;6;7;8;9}))))</f>
        <v>0</v>
      </c>
      <c r="S67" s="561" t="str">
        <f>INDEX([1]ETAPP!B$1:B$32,MATCH(COUNTIF(BI67:BR67,1),[1]ETAPP!A$1:A$32,0))&amp;INDEX([1]ETAPP!B$1:B$32,MATCH(COUNTIF(BI67:BR67,2),[1]ETAPP!A$1:A$32,0))&amp;INDEX([1]ETAPP!B$1:B$32,MATCH(COUNTIF(BI67:BR67,3),[1]ETAPP!A$1:A$32,0))&amp;INDEX([1]ETAPP!B$1:B$32,MATCH(COUNTIF(BI67:BR67,4),[1]ETAPP!A$1:A$32,0))&amp;INDEX([1]ETAPP!B$1:B$32,MATCH(COUNTIF(BI67:BR67,5),[1]ETAPP!A$1:A$32,0))&amp;INDEX([1]ETAPP!B$1:B$32,MATCH(COUNTIF(BI67:BR67,6),[1]ETAPP!A$1:A$32,0))&amp;INDEX([1]ETAPP!B$1:B$32,MATCH(COUNTIF(BI67:BR67,7),[1]ETAPP!A$1:A$32,0))&amp;INDEX([1]ETAPP!B$1:B$32,MATCH(COUNTIF(BI67:BR67,8),[1]ETAPP!A$1:A$32,0))&amp;INDEX([1]ETAPP!B$1:B$32,MATCH(COUNTIF(BI67:BR67,9),[1]ETAPP!A$1:A$32,0))&amp;INDEX([1]ETAPP!B$1:B$32,MATCH(COUNTIF(BI67:BR67,10),[1]ETAPP!A$1:A$32,0))&amp;INDEX([1]ETAPP!B$1:B$32,MATCH(COUNTIF(BI67:BR67,11),[1]ETAPP!A$1:A$32,0))&amp;INDEX([1]ETAPP!B$1:B$32,MATCH(COUNTIF(BI67:BR67,12),[1]ETAPP!A$1:A$32,0))&amp;INDEX([1]ETAPP!B$1:B$32,MATCH(COUNTIF(BI67:BR67,13),[1]ETAPP!A$1:A$32,0))&amp;INDEX([1]ETAPP!B$1:B$32,MATCH(COUNTIF(BI67:BR67,14),[1]ETAPP!A$1:A$32,0))&amp;INDEX([1]ETAPP!B$1:B$32,MATCH(COUNTIF(BI67:BR67,15),[1]ETAPP!A$1:A$32,0))&amp;INDEX([1]ETAPP!B$1:B$32,MATCH(COUNTIF(BI67:BR67,16),[1]ETAPP!A$1:A$32,0))&amp;INDEX([1]ETAPP!B$1:B$32,MATCH(COUNTIF(BI67:BR67,17),[1]ETAPP!A$1:A$32,0))&amp;INDEX([1]ETAPP!B$1:B$32,MATCH(COUNTIF(BI67:BR67,18),[1]ETAPP!A$1:A$32,0))&amp;INDEX([1]ETAPP!B$1:B$32,MATCH(COUNTIF(BI67:BR67,19),[1]ETAPP!A$1:A$32,0))&amp;INDEX([1]ETAPP!B$1:B$32,MATCH(COUNTIF(BI67:BR67,20),[1]ETAPP!A$1:A$32,0))&amp;INDEX([1]ETAPP!B$1:B$32,MATCH(COUNTIF(BI67:BR67,21),[1]ETAPP!A$1:A$32,0))</f>
        <v>000000000000000000000</v>
      </c>
      <c r="T67" s="561" t="str">
        <f t="shared" si="56"/>
        <v>000,0-000000000000000000000</v>
      </c>
      <c r="U67" s="561">
        <f t="shared" si="57"/>
        <v>114</v>
      </c>
      <c r="V67" s="561">
        <f t="shared" si="58"/>
        <v>104</v>
      </c>
      <c r="W67" s="561" t="str">
        <f t="shared" si="59"/>
        <v>000,0-000000000000000000000-104</v>
      </c>
      <c r="X67" s="561">
        <f t="shared" si="60"/>
        <v>61</v>
      </c>
      <c r="Y67" s="562">
        <f t="shared" si="61"/>
        <v>54</v>
      </c>
      <c r="Z67" s="563" t="str">
        <f>IFERROR(INDEX('V1'!C$300:C$400,MATCH("*"&amp;L67&amp;"*",'V1'!B$300:B$400,0)),"  ")</f>
        <v xml:space="preserve">  </v>
      </c>
      <c r="AA67" s="563" t="str">
        <f>IFERROR(INDEX('V2'!C$300:C$400,MATCH("*"&amp;L67&amp;"*",'V2'!B$300:B$400,0)),"  ")</f>
        <v xml:space="preserve">  </v>
      </c>
      <c r="AB67" s="563" t="str">
        <f>IFERROR(INDEX('V3'!C$300:C$400,MATCH("*"&amp;L67&amp;"*",'V3'!B$300:B$400,0)),"  ")</f>
        <v xml:space="preserve">  </v>
      </c>
      <c r="AC67" s="563" t="str">
        <f>IFERROR(INDEX('V4'!C$300:C$400,MATCH("*"&amp;L67&amp;"*",'V4'!B$300:B$400,0)),"  ")</f>
        <v xml:space="preserve">  </v>
      </c>
      <c r="AD67" s="563" t="str">
        <f>IFERROR(INDEX('V5'!C$300:C$400,MATCH("*"&amp;L67&amp;"*",'V5'!B$300:B$400,0)),"  ")</f>
        <v xml:space="preserve">  </v>
      </c>
      <c r="AE67" s="563" t="str">
        <f>IFERROR(INDEX('V6'!C$300:C$400,MATCH("*"&amp;L67&amp;"*",'V6'!B$300:B$400,0)),"  ")</f>
        <v xml:space="preserve">  </v>
      </c>
      <c r="AF67" s="563" t="str">
        <f>IFERROR(INDEX('V7'!C$300:C$400,MATCH("*"&amp;L67&amp;"*",'V7'!B$300:B$400,0)),"  ")</f>
        <v xml:space="preserve">  </v>
      </c>
      <c r="AG67" s="563" t="str">
        <f>IFERROR(INDEX('V8'!C$300:C$400,MATCH("*"&amp;L67&amp;"*",'V8'!B$300:B$400,0)),"  ")</f>
        <v xml:space="preserve">  </v>
      </c>
      <c r="AH67" s="563" t="str">
        <f>IFERROR(INDEX('V9'!C$300:C$400,MATCH("*"&amp;L67&amp;"*",'V9'!B$300:B$400,0)),"  ")</f>
        <v xml:space="preserve">  </v>
      </c>
      <c r="AI67" s="563" t="str">
        <f>IFERROR(INDEX('V10'!C$300:C$400,MATCH("*"&amp;L67&amp;"*",'V10'!B$300:B$400,0)),"  ")</f>
        <v xml:space="preserve">  </v>
      </c>
      <c r="AJ67" s="564" t="str">
        <f t="shared" si="62"/>
        <v/>
      </c>
      <c r="AK67" s="565">
        <f t="shared" si="63"/>
        <v>0</v>
      </c>
      <c r="AL67" s="566" t="str">
        <f t="shared" si="64"/>
        <v/>
      </c>
      <c r="AM67" s="567" t="str">
        <f>IFERROR(INDEX(#REF!,MATCH("*"&amp;L67&amp;"*",#REF!,0)),"  ")</f>
        <v xml:space="preserve">  </v>
      </c>
      <c r="AN67" s="568">
        <f t="shared" si="65"/>
        <v>0</v>
      </c>
      <c r="AO67" s="469">
        <f t="shared" si="66"/>
        <v>0</v>
      </c>
      <c r="AP67" s="469">
        <f t="shared" si="67"/>
        <v>0</v>
      </c>
      <c r="AQ67" s="569"/>
      <c r="AR67" s="569"/>
      <c r="AS67" s="569"/>
      <c r="AT67" s="570">
        <f t="shared" si="68"/>
        <v>1E-4</v>
      </c>
      <c r="AU67" s="571">
        <f t="shared" si="69"/>
        <v>1E-4</v>
      </c>
      <c r="AV67" s="571">
        <f t="shared" si="70"/>
        <v>2.0000000000000001E-4</v>
      </c>
      <c r="AW67" s="571">
        <f t="shared" si="71"/>
        <v>2.9999999999999997E-4</v>
      </c>
      <c r="AX67" s="571">
        <f t="shared" si="72"/>
        <v>4.0000000000000002E-4</v>
      </c>
      <c r="AY67" s="571">
        <f t="shared" si="73"/>
        <v>5.0000000000000001E-4</v>
      </c>
      <c r="AZ67" s="571">
        <f t="shared" si="74"/>
        <v>5.9999999999999995E-4</v>
      </c>
      <c r="BA67" s="571">
        <f t="shared" si="75"/>
        <v>6.9999999999999999E-4</v>
      </c>
      <c r="BB67" s="571">
        <f t="shared" si="76"/>
        <v>8.0000000000000004E-4</v>
      </c>
      <c r="BC67" s="571">
        <f t="shared" si="77"/>
        <v>8.9999999999999998E-4</v>
      </c>
      <c r="BD67" s="571">
        <f t="shared" si="78"/>
        <v>1E-3</v>
      </c>
      <c r="BE67" s="569"/>
      <c r="BF67" s="569"/>
      <c r="BG67" s="569"/>
      <c r="BH67" s="569"/>
      <c r="BI67" s="377" t="e">
        <f t="shared" si="79"/>
        <v>#VALUE!</v>
      </c>
      <c r="BJ67" s="377" t="e">
        <f t="shared" si="80"/>
        <v>#VALUE!</v>
      </c>
      <c r="BK67" s="377" t="e">
        <f t="shared" si="81"/>
        <v>#VALUE!</v>
      </c>
      <c r="BL67" s="377" t="e">
        <f t="shared" si="82"/>
        <v>#VALUE!</v>
      </c>
      <c r="BM67" s="377" t="e">
        <f t="shared" si="83"/>
        <v>#VALUE!</v>
      </c>
      <c r="BN67" s="377" t="e">
        <f t="shared" si="84"/>
        <v>#VALUE!</v>
      </c>
      <c r="BO67" s="377" t="e">
        <f t="shared" si="85"/>
        <v>#VALUE!</v>
      </c>
      <c r="BP67" s="377" t="e">
        <f t="shared" si="86"/>
        <v>#VALUE!</v>
      </c>
      <c r="BQ67" s="377" t="e">
        <f t="shared" si="87"/>
        <v>#VALUE!</v>
      </c>
      <c r="BR67" s="377" t="e">
        <f t="shared" si="88"/>
        <v>#VALUE!</v>
      </c>
    </row>
    <row r="68" spans="1:70" ht="12.75" hidden="1" customHeight="1" x14ac:dyDescent="0.2">
      <c r="A68" s="484" t="str">
        <f t="shared" si="45"/>
        <v/>
      </c>
      <c r="B68" s="485">
        <f t="shared" si="46"/>
        <v>114</v>
      </c>
      <c r="C68" s="486" t="str">
        <f t="shared" si="47"/>
        <v/>
      </c>
      <c r="D68" s="487">
        <f t="shared" si="48"/>
        <v>-886</v>
      </c>
      <c r="E68" s="488" t="str">
        <f t="shared" si="49"/>
        <v/>
      </c>
      <c r="F68" s="489">
        <f t="shared" si="50"/>
        <v>-886</v>
      </c>
      <c r="G68" s="490" t="str">
        <f t="shared" si="51"/>
        <v/>
      </c>
      <c r="H68" s="489">
        <f t="shared" si="52"/>
        <v>114</v>
      </c>
      <c r="I68" s="491" t="str">
        <f t="shared" si="53"/>
        <v/>
      </c>
      <c r="J68" s="554">
        <f t="shared" si="54"/>
        <v>114</v>
      </c>
      <c r="K68" s="526" t="str">
        <f t="shared" si="55"/>
        <v/>
      </c>
      <c r="L68" s="592" t="s">
        <v>278</v>
      </c>
      <c r="M68" s="587" t="s">
        <v>170</v>
      </c>
      <c r="N68" s="588"/>
      <c r="O68" s="593" t="s">
        <v>190</v>
      </c>
      <c r="P68" s="590"/>
      <c r="Q68" s="591" t="s">
        <v>148</v>
      </c>
      <c r="R68" s="539">
        <f>(IF(COUNT(Z68,AA68,AB68,AC68,AD68,AE68,AF68,AG68,AH68,AI68)&lt;10,SUM(Z68,AA68,AB68,AC68,AD68,AE68,AF68,AG68,AH68,AI68),SUM(LARGE((Z68,AA68,AB68,AC68,AD68,AE68,AF68,AG68,AH68,AI68),{1;2;3;4;5;6;7;8;9}))))</f>
        <v>0</v>
      </c>
      <c r="S68" s="561" t="str">
        <f>INDEX([1]ETAPP!B$1:B$32,MATCH(COUNTIF(BI68:BR68,1),[1]ETAPP!A$1:A$32,0))&amp;INDEX([1]ETAPP!B$1:B$32,MATCH(COUNTIF(BI68:BR68,2),[1]ETAPP!A$1:A$32,0))&amp;INDEX([1]ETAPP!B$1:B$32,MATCH(COUNTIF(BI68:BR68,3),[1]ETAPP!A$1:A$32,0))&amp;INDEX([1]ETAPP!B$1:B$32,MATCH(COUNTIF(BI68:BR68,4),[1]ETAPP!A$1:A$32,0))&amp;INDEX([1]ETAPP!B$1:B$32,MATCH(COUNTIF(BI68:BR68,5),[1]ETAPP!A$1:A$32,0))&amp;INDEX([1]ETAPP!B$1:B$32,MATCH(COUNTIF(BI68:BR68,6),[1]ETAPP!A$1:A$32,0))&amp;INDEX([1]ETAPP!B$1:B$32,MATCH(COUNTIF(BI68:BR68,7),[1]ETAPP!A$1:A$32,0))&amp;INDEX([1]ETAPP!B$1:B$32,MATCH(COUNTIF(BI68:BR68,8),[1]ETAPP!A$1:A$32,0))&amp;INDEX([1]ETAPP!B$1:B$32,MATCH(COUNTIF(BI68:BR68,9),[1]ETAPP!A$1:A$32,0))&amp;INDEX([1]ETAPP!B$1:B$32,MATCH(COUNTIF(BI68:BR68,10),[1]ETAPP!A$1:A$32,0))&amp;INDEX([1]ETAPP!B$1:B$32,MATCH(COUNTIF(BI68:BR68,11),[1]ETAPP!A$1:A$32,0))&amp;INDEX([1]ETAPP!B$1:B$32,MATCH(COUNTIF(BI68:BR68,12),[1]ETAPP!A$1:A$32,0))&amp;INDEX([1]ETAPP!B$1:B$32,MATCH(COUNTIF(BI68:BR68,13),[1]ETAPP!A$1:A$32,0))&amp;INDEX([1]ETAPP!B$1:B$32,MATCH(COUNTIF(BI68:BR68,14),[1]ETAPP!A$1:A$32,0))&amp;INDEX([1]ETAPP!B$1:B$32,MATCH(COUNTIF(BI68:BR68,15),[1]ETAPP!A$1:A$32,0))&amp;INDEX([1]ETAPP!B$1:B$32,MATCH(COUNTIF(BI68:BR68,16),[1]ETAPP!A$1:A$32,0))&amp;INDEX([1]ETAPP!B$1:B$32,MATCH(COUNTIF(BI68:BR68,17),[1]ETAPP!A$1:A$32,0))&amp;INDEX([1]ETAPP!B$1:B$32,MATCH(COUNTIF(BI68:BR68,18),[1]ETAPP!A$1:A$32,0))&amp;INDEX([1]ETAPP!B$1:B$32,MATCH(COUNTIF(BI68:BR68,19),[1]ETAPP!A$1:A$32,0))&amp;INDEX([1]ETAPP!B$1:B$32,MATCH(COUNTIF(BI68:BR68,20),[1]ETAPP!A$1:A$32,0))&amp;INDEX([1]ETAPP!B$1:B$32,MATCH(COUNTIF(BI68:BR68,21),[1]ETAPP!A$1:A$32,0))</f>
        <v>000000000000000000000</v>
      </c>
      <c r="T68" s="561" t="str">
        <f t="shared" si="56"/>
        <v>000,0-000000000000000000000</v>
      </c>
      <c r="U68" s="561">
        <f t="shared" si="57"/>
        <v>114</v>
      </c>
      <c r="V68" s="561">
        <f t="shared" si="58"/>
        <v>103</v>
      </c>
      <c r="W68" s="561" t="str">
        <f t="shared" si="59"/>
        <v>000,0-000000000000000000000-103</v>
      </c>
      <c r="X68" s="561">
        <f t="shared" si="60"/>
        <v>62</v>
      </c>
      <c r="Y68" s="562">
        <f t="shared" si="61"/>
        <v>53</v>
      </c>
      <c r="Z68" s="563" t="str">
        <f>IFERROR(INDEX('V1'!C$300:C$400,MATCH("*"&amp;L68&amp;"*",'V1'!B$300:B$400,0)),"  ")</f>
        <v xml:space="preserve">  </v>
      </c>
      <c r="AA68" s="563" t="str">
        <f>IFERROR(INDEX('V2'!C$300:C$400,MATCH("*"&amp;L68&amp;"*",'V2'!B$300:B$400,0)),"  ")</f>
        <v xml:space="preserve">  </v>
      </c>
      <c r="AB68" s="563" t="str">
        <f>IFERROR(INDEX('V3'!C$300:C$400,MATCH("*"&amp;L68&amp;"*",'V3'!B$300:B$400,0)),"  ")</f>
        <v xml:space="preserve">  </v>
      </c>
      <c r="AC68" s="563" t="str">
        <f>IFERROR(INDEX('V4'!C$300:C$400,MATCH("*"&amp;L68&amp;"*",'V4'!B$300:B$400,0)),"  ")</f>
        <v xml:space="preserve">  </v>
      </c>
      <c r="AD68" s="563" t="str">
        <f>IFERROR(INDEX('V5'!C$300:C$400,MATCH("*"&amp;L68&amp;"*",'V5'!B$300:B$400,0)),"  ")</f>
        <v xml:space="preserve">  </v>
      </c>
      <c r="AE68" s="563" t="str">
        <f>IFERROR(INDEX('V6'!C$300:C$400,MATCH("*"&amp;L68&amp;"*",'V6'!B$300:B$400,0)),"  ")</f>
        <v xml:space="preserve">  </v>
      </c>
      <c r="AF68" s="563" t="str">
        <f>IFERROR(INDEX('V7'!C$300:C$400,MATCH("*"&amp;L68&amp;"*",'V7'!B$300:B$400,0)),"  ")</f>
        <v xml:space="preserve">  </v>
      </c>
      <c r="AG68" s="563" t="str">
        <f>IFERROR(INDEX('V8'!C$300:C$400,MATCH("*"&amp;L68&amp;"*",'V8'!B$300:B$400,0)),"  ")</f>
        <v xml:space="preserve">  </v>
      </c>
      <c r="AH68" s="563" t="str">
        <f>IFERROR(INDEX('V9'!C$300:C$400,MATCH("*"&amp;L68&amp;"*",'V9'!B$300:B$400,0)),"  ")</f>
        <v xml:space="preserve">  </v>
      </c>
      <c r="AI68" s="563" t="str">
        <f>IFERROR(INDEX('V10'!C$300:C$400,MATCH("*"&amp;L68&amp;"*",'V10'!B$300:B$400,0)),"  ")</f>
        <v xml:space="preserve">  </v>
      </c>
      <c r="AJ68" s="564" t="str">
        <f t="shared" si="62"/>
        <v/>
      </c>
      <c r="AK68" s="565">
        <f t="shared" si="63"/>
        <v>0</v>
      </c>
      <c r="AL68" s="566" t="str">
        <f t="shared" si="64"/>
        <v/>
      </c>
      <c r="AM68" s="567" t="str">
        <f>IFERROR(INDEX(#REF!,MATCH("*"&amp;L68&amp;"*",#REF!,0)),"  ")</f>
        <v xml:space="preserve">  </v>
      </c>
      <c r="AN68" s="568">
        <f t="shared" si="65"/>
        <v>0</v>
      </c>
      <c r="AO68" s="469">
        <f t="shared" si="66"/>
        <v>0</v>
      </c>
      <c r="AP68" s="469">
        <f t="shared" si="67"/>
        <v>0</v>
      </c>
      <c r="AQ68" s="569"/>
      <c r="AR68" s="569"/>
      <c r="AS68" s="569"/>
      <c r="AT68" s="570">
        <f t="shared" si="68"/>
        <v>1E-4</v>
      </c>
      <c r="AU68" s="571">
        <f t="shared" si="69"/>
        <v>1E-4</v>
      </c>
      <c r="AV68" s="571">
        <f t="shared" si="70"/>
        <v>2.0000000000000001E-4</v>
      </c>
      <c r="AW68" s="571">
        <f t="shared" si="71"/>
        <v>2.9999999999999997E-4</v>
      </c>
      <c r="AX68" s="571">
        <f t="shared" si="72"/>
        <v>4.0000000000000002E-4</v>
      </c>
      <c r="AY68" s="571">
        <f t="shared" si="73"/>
        <v>5.0000000000000001E-4</v>
      </c>
      <c r="AZ68" s="571">
        <f t="shared" si="74"/>
        <v>5.9999999999999995E-4</v>
      </c>
      <c r="BA68" s="571">
        <f t="shared" si="75"/>
        <v>6.9999999999999999E-4</v>
      </c>
      <c r="BB68" s="571">
        <f t="shared" si="76"/>
        <v>8.0000000000000004E-4</v>
      </c>
      <c r="BC68" s="571">
        <f t="shared" si="77"/>
        <v>8.9999999999999998E-4</v>
      </c>
      <c r="BD68" s="571">
        <f t="shared" si="78"/>
        <v>1E-3</v>
      </c>
      <c r="BE68" s="569"/>
      <c r="BF68" s="569"/>
      <c r="BG68" s="569"/>
      <c r="BH68" s="569"/>
      <c r="BI68" s="377" t="e">
        <f t="shared" si="79"/>
        <v>#VALUE!</v>
      </c>
      <c r="BJ68" s="377" t="e">
        <f t="shared" si="80"/>
        <v>#VALUE!</v>
      </c>
      <c r="BK68" s="377" t="e">
        <f t="shared" si="81"/>
        <v>#VALUE!</v>
      </c>
      <c r="BL68" s="377" t="e">
        <f t="shared" si="82"/>
        <v>#VALUE!</v>
      </c>
      <c r="BM68" s="377" t="e">
        <f t="shared" si="83"/>
        <v>#VALUE!</v>
      </c>
      <c r="BN68" s="377" t="e">
        <f t="shared" si="84"/>
        <v>#VALUE!</v>
      </c>
      <c r="BO68" s="377" t="e">
        <f t="shared" si="85"/>
        <v>#VALUE!</v>
      </c>
      <c r="BP68" s="377" t="e">
        <f t="shared" si="86"/>
        <v>#VALUE!</v>
      </c>
      <c r="BQ68" s="377" t="e">
        <f t="shared" si="87"/>
        <v>#VALUE!</v>
      </c>
      <c r="BR68" s="377" t="e">
        <f t="shared" si="88"/>
        <v>#VALUE!</v>
      </c>
    </row>
    <row r="69" spans="1:70" ht="12.75" hidden="1" customHeight="1" x14ac:dyDescent="0.2">
      <c r="A69" s="484" t="str">
        <f t="shared" si="45"/>
        <v/>
      </c>
      <c r="B69" s="485">
        <f t="shared" si="46"/>
        <v>-886</v>
      </c>
      <c r="C69" s="486" t="str">
        <f t="shared" si="47"/>
        <v/>
      </c>
      <c r="D69" s="487">
        <f t="shared" si="48"/>
        <v>-886</v>
      </c>
      <c r="E69" s="488" t="str">
        <f t="shared" si="49"/>
        <v/>
      </c>
      <c r="F69" s="489">
        <f t="shared" si="50"/>
        <v>114</v>
      </c>
      <c r="G69" s="490" t="str">
        <f t="shared" si="51"/>
        <v/>
      </c>
      <c r="H69" s="489">
        <f t="shared" si="52"/>
        <v>-886</v>
      </c>
      <c r="I69" s="491" t="str">
        <f t="shared" si="53"/>
        <v/>
      </c>
      <c r="J69" s="554">
        <f t="shared" si="54"/>
        <v>-886</v>
      </c>
      <c r="K69" s="526" t="str">
        <f t="shared" si="55"/>
        <v/>
      </c>
      <c r="L69" s="592" t="s">
        <v>279</v>
      </c>
      <c r="M69" s="587"/>
      <c r="N69" s="588" t="s">
        <v>168</v>
      </c>
      <c r="O69" s="589"/>
      <c r="P69" s="590"/>
      <c r="Q69" s="591"/>
      <c r="R69" s="539">
        <f>(IF(COUNT(Z69,AA69,AB69,AC69,AD69,AE69,AF69,AG69,AH69,AI69)&lt;10,SUM(Z69,AA69,AB69,AC69,AD69,AE69,AF69,AG69,AH69,AI69),SUM(LARGE((Z69,AA69,AB69,AC69,AD69,AE69,AF69,AG69,AH69,AI69),{1;2;3;4;5;6;7;8;9}))))</f>
        <v>0</v>
      </c>
      <c r="S69" s="561" t="str">
        <f>INDEX([1]ETAPP!B$1:B$32,MATCH(COUNTIF(BI69:BR69,1),[1]ETAPP!A$1:A$32,0))&amp;INDEX([1]ETAPP!B$1:B$32,MATCH(COUNTIF(BI69:BR69,2),[1]ETAPP!A$1:A$32,0))&amp;INDEX([1]ETAPP!B$1:B$32,MATCH(COUNTIF(BI69:BR69,3),[1]ETAPP!A$1:A$32,0))&amp;INDEX([1]ETAPP!B$1:B$32,MATCH(COUNTIF(BI69:BR69,4),[1]ETAPP!A$1:A$32,0))&amp;INDEX([1]ETAPP!B$1:B$32,MATCH(COUNTIF(BI69:BR69,5),[1]ETAPP!A$1:A$32,0))&amp;INDEX([1]ETAPP!B$1:B$32,MATCH(COUNTIF(BI69:BR69,6),[1]ETAPP!A$1:A$32,0))&amp;INDEX([1]ETAPP!B$1:B$32,MATCH(COUNTIF(BI69:BR69,7),[1]ETAPP!A$1:A$32,0))&amp;INDEX([1]ETAPP!B$1:B$32,MATCH(COUNTIF(BI69:BR69,8),[1]ETAPP!A$1:A$32,0))&amp;INDEX([1]ETAPP!B$1:B$32,MATCH(COUNTIF(BI69:BR69,9),[1]ETAPP!A$1:A$32,0))&amp;INDEX([1]ETAPP!B$1:B$32,MATCH(COUNTIF(BI69:BR69,10),[1]ETAPP!A$1:A$32,0))&amp;INDEX([1]ETAPP!B$1:B$32,MATCH(COUNTIF(BI69:BR69,11),[1]ETAPP!A$1:A$32,0))&amp;INDEX([1]ETAPP!B$1:B$32,MATCH(COUNTIF(BI69:BR69,12),[1]ETAPP!A$1:A$32,0))&amp;INDEX([1]ETAPP!B$1:B$32,MATCH(COUNTIF(BI69:BR69,13),[1]ETAPP!A$1:A$32,0))&amp;INDEX([1]ETAPP!B$1:B$32,MATCH(COUNTIF(BI69:BR69,14),[1]ETAPP!A$1:A$32,0))&amp;INDEX([1]ETAPP!B$1:B$32,MATCH(COUNTIF(BI69:BR69,15),[1]ETAPP!A$1:A$32,0))&amp;INDEX([1]ETAPP!B$1:B$32,MATCH(COUNTIF(BI69:BR69,16),[1]ETAPP!A$1:A$32,0))&amp;INDEX([1]ETAPP!B$1:B$32,MATCH(COUNTIF(BI69:BR69,17),[1]ETAPP!A$1:A$32,0))&amp;INDEX([1]ETAPP!B$1:B$32,MATCH(COUNTIF(BI69:BR69,18),[1]ETAPP!A$1:A$32,0))&amp;INDEX([1]ETAPP!B$1:B$32,MATCH(COUNTIF(BI69:BR69,19),[1]ETAPP!A$1:A$32,0))&amp;INDEX([1]ETAPP!B$1:B$32,MATCH(COUNTIF(BI69:BR69,20),[1]ETAPP!A$1:A$32,0))&amp;INDEX([1]ETAPP!B$1:B$32,MATCH(COUNTIF(BI69:BR69,21),[1]ETAPP!A$1:A$32,0))</f>
        <v>000000000000000000000</v>
      </c>
      <c r="T69" s="561" t="str">
        <f t="shared" si="56"/>
        <v>000,0-000000000000000000000</v>
      </c>
      <c r="U69" s="561">
        <f t="shared" si="57"/>
        <v>114</v>
      </c>
      <c r="V69" s="561">
        <f t="shared" si="58"/>
        <v>102</v>
      </c>
      <c r="W69" s="561" t="str">
        <f t="shared" si="59"/>
        <v>000,0-000000000000000000000-102</v>
      </c>
      <c r="X69" s="561">
        <f t="shared" si="60"/>
        <v>63</v>
      </c>
      <c r="Y69" s="562">
        <f t="shared" si="61"/>
        <v>52</v>
      </c>
      <c r="Z69" s="563" t="str">
        <f>IFERROR(INDEX('V1'!C$300:C$400,MATCH("*"&amp;L69&amp;"*",'V1'!B$300:B$400,0)),"  ")</f>
        <v xml:space="preserve">  </v>
      </c>
      <c r="AA69" s="563" t="str">
        <f>IFERROR(INDEX('V2'!C$300:C$400,MATCH("*"&amp;L69&amp;"*",'V2'!B$300:B$400,0)),"  ")</f>
        <v xml:space="preserve">  </v>
      </c>
      <c r="AB69" s="563" t="str">
        <f>IFERROR(INDEX('V3'!C$300:C$400,MATCH("*"&amp;L69&amp;"*",'V3'!B$300:B$400,0)),"  ")</f>
        <v xml:space="preserve">  </v>
      </c>
      <c r="AC69" s="563" t="str">
        <f>IFERROR(INDEX('V4'!C$300:C$400,MATCH("*"&amp;L69&amp;"*",'V4'!B$300:B$400,0)),"  ")</f>
        <v xml:space="preserve">  </v>
      </c>
      <c r="AD69" s="563" t="str">
        <f>IFERROR(INDEX('V5'!C$300:C$400,MATCH("*"&amp;L69&amp;"*",'V5'!B$300:B$400,0)),"  ")</f>
        <v xml:space="preserve">  </v>
      </c>
      <c r="AE69" s="563" t="str">
        <f>IFERROR(INDEX('V6'!C$300:C$400,MATCH("*"&amp;L69&amp;"*",'V6'!B$300:B$400,0)),"  ")</f>
        <v xml:space="preserve">  </v>
      </c>
      <c r="AF69" s="563" t="str">
        <f>IFERROR(INDEX('V7'!C$300:C$400,MATCH("*"&amp;L69&amp;"*",'V7'!B$300:B$400,0)),"  ")</f>
        <v xml:space="preserve">  </v>
      </c>
      <c r="AG69" s="563" t="str">
        <f>IFERROR(INDEX('V8'!C$300:C$400,MATCH("*"&amp;L69&amp;"*",'V8'!B$300:B$400,0)),"  ")</f>
        <v xml:space="preserve">  </v>
      </c>
      <c r="AH69" s="563" t="str">
        <f>IFERROR(INDEX('V9'!C$300:C$400,MATCH("*"&amp;L69&amp;"*",'V9'!B$300:B$400,0)),"  ")</f>
        <v xml:space="preserve">  </v>
      </c>
      <c r="AI69" s="563" t="str">
        <f>IFERROR(INDEX('V10'!C$300:C$400,MATCH("*"&amp;L69&amp;"*",'V10'!B$300:B$400,0)),"  ")</f>
        <v xml:space="preserve">  </v>
      </c>
      <c r="AJ69" s="564" t="str">
        <f t="shared" si="62"/>
        <v/>
      </c>
      <c r="AK69" s="565">
        <f t="shared" si="63"/>
        <v>0</v>
      </c>
      <c r="AL69" s="566" t="str">
        <f t="shared" si="64"/>
        <v/>
      </c>
      <c r="AM69" s="567" t="str">
        <f>IFERROR(INDEX(#REF!,MATCH("*"&amp;L69&amp;"*",#REF!,0)),"  ")</f>
        <v xml:space="preserve">  </v>
      </c>
      <c r="AN69" s="568">
        <f t="shared" si="65"/>
        <v>0</v>
      </c>
      <c r="AO69" s="469">
        <f t="shared" si="66"/>
        <v>0</v>
      </c>
      <c r="AP69" s="469">
        <f t="shared" si="67"/>
        <v>0</v>
      </c>
      <c r="AQ69" s="569"/>
      <c r="AR69" s="569"/>
      <c r="AS69" s="569"/>
      <c r="AT69" s="570">
        <f t="shared" si="68"/>
        <v>1E-4</v>
      </c>
      <c r="AU69" s="571">
        <f t="shared" si="69"/>
        <v>1E-4</v>
      </c>
      <c r="AV69" s="571">
        <f t="shared" si="70"/>
        <v>2.0000000000000001E-4</v>
      </c>
      <c r="AW69" s="571">
        <f t="shared" si="71"/>
        <v>2.9999999999999997E-4</v>
      </c>
      <c r="AX69" s="571">
        <f t="shared" si="72"/>
        <v>4.0000000000000002E-4</v>
      </c>
      <c r="AY69" s="571">
        <f t="shared" si="73"/>
        <v>5.0000000000000001E-4</v>
      </c>
      <c r="AZ69" s="571">
        <f t="shared" si="74"/>
        <v>5.9999999999999995E-4</v>
      </c>
      <c r="BA69" s="571">
        <f t="shared" si="75"/>
        <v>6.9999999999999999E-4</v>
      </c>
      <c r="BB69" s="571">
        <f t="shared" si="76"/>
        <v>8.0000000000000004E-4</v>
      </c>
      <c r="BC69" s="571">
        <f t="shared" si="77"/>
        <v>8.9999999999999998E-4</v>
      </c>
      <c r="BD69" s="571">
        <f t="shared" si="78"/>
        <v>1E-3</v>
      </c>
      <c r="BE69" s="569"/>
      <c r="BF69" s="569"/>
      <c r="BG69" s="569"/>
      <c r="BH69" s="569"/>
      <c r="BI69" s="377" t="e">
        <f t="shared" si="79"/>
        <v>#VALUE!</v>
      </c>
      <c r="BJ69" s="377" t="e">
        <f t="shared" si="80"/>
        <v>#VALUE!</v>
      </c>
      <c r="BK69" s="377" t="e">
        <f t="shared" si="81"/>
        <v>#VALUE!</v>
      </c>
      <c r="BL69" s="377" t="e">
        <f t="shared" si="82"/>
        <v>#VALUE!</v>
      </c>
      <c r="BM69" s="377" t="e">
        <f t="shared" si="83"/>
        <v>#VALUE!</v>
      </c>
      <c r="BN69" s="377" t="e">
        <f t="shared" si="84"/>
        <v>#VALUE!</v>
      </c>
      <c r="BO69" s="377" t="e">
        <f t="shared" si="85"/>
        <v>#VALUE!</v>
      </c>
      <c r="BP69" s="377" t="e">
        <f t="shared" si="86"/>
        <v>#VALUE!</v>
      </c>
      <c r="BQ69" s="377" t="e">
        <f t="shared" si="87"/>
        <v>#VALUE!</v>
      </c>
      <c r="BR69" s="377" t="e">
        <f t="shared" si="88"/>
        <v>#VALUE!</v>
      </c>
    </row>
    <row r="70" spans="1:70" ht="12.75" hidden="1" customHeight="1" x14ac:dyDescent="0.2">
      <c r="A70" s="484" t="str">
        <f t="shared" si="45"/>
        <v/>
      </c>
      <c r="B70" s="485">
        <f t="shared" si="46"/>
        <v>-886</v>
      </c>
      <c r="C70" s="486" t="str">
        <f t="shared" si="47"/>
        <v/>
      </c>
      <c r="D70" s="487">
        <f t="shared" si="48"/>
        <v>-886</v>
      </c>
      <c r="E70" s="488" t="str">
        <f t="shared" si="49"/>
        <v/>
      </c>
      <c r="F70" s="489">
        <f t="shared" si="50"/>
        <v>-886</v>
      </c>
      <c r="G70" s="490" t="str">
        <f t="shared" si="51"/>
        <v/>
      </c>
      <c r="H70" s="489">
        <f t="shared" si="52"/>
        <v>114</v>
      </c>
      <c r="I70" s="491" t="str">
        <f t="shared" si="53"/>
        <v/>
      </c>
      <c r="J70" s="554">
        <f t="shared" si="54"/>
        <v>-886</v>
      </c>
      <c r="K70" s="526" t="str">
        <f t="shared" si="55"/>
        <v/>
      </c>
      <c r="L70" s="585" t="s">
        <v>212</v>
      </c>
      <c r="M70" s="556" t="s">
        <v>170</v>
      </c>
      <c r="N70" s="557" t="str">
        <f>IF(M70="","m","")</f>
        <v/>
      </c>
      <c r="O70" s="558"/>
      <c r="P70" s="559"/>
      <c r="Q70" s="560"/>
      <c r="R70" s="539">
        <f>(IF(COUNT(Z70,AA70,AB70,AC70,AD70,AE70,AF70,AG70,AH70,AI70)&lt;10,SUM(Z70,AA70,AB70,AC70,AD70,AE70,AF70,AG70,AH70,AI70),SUM(LARGE((Z70,AA70,AB70,AC70,AD70,AE70,AF70,AG70,AH70,AI70),{1;2;3;4;5;6;7;8;9}))))</f>
        <v>0</v>
      </c>
      <c r="S70" s="561" t="str">
        <f>INDEX([1]ETAPP!B$1:B$32,MATCH(COUNTIF(BI70:BR70,1),[1]ETAPP!A$1:A$32,0))&amp;INDEX([1]ETAPP!B$1:B$32,MATCH(COUNTIF(BI70:BR70,2),[1]ETAPP!A$1:A$32,0))&amp;INDEX([1]ETAPP!B$1:B$32,MATCH(COUNTIF(BI70:BR70,3),[1]ETAPP!A$1:A$32,0))&amp;INDEX([1]ETAPP!B$1:B$32,MATCH(COUNTIF(BI70:BR70,4),[1]ETAPP!A$1:A$32,0))&amp;INDEX([1]ETAPP!B$1:B$32,MATCH(COUNTIF(BI70:BR70,5),[1]ETAPP!A$1:A$32,0))&amp;INDEX([1]ETAPP!B$1:B$32,MATCH(COUNTIF(BI70:BR70,6),[1]ETAPP!A$1:A$32,0))&amp;INDEX([1]ETAPP!B$1:B$32,MATCH(COUNTIF(BI70:BR70,7),[1]ETAPP!A$1:A$32,0))&amp;INDEX([1]ETAPP!B$1:B$32,MATCH(COUNTIF(BI70:BR70,8),[1]ETAPP!A$1:A$32,0))&amp;INDEX([1]ETAPP!B$1:B$32,MATCH(COUNTIF(BI70:BR70,9),[1]ETAPP!A$1:A$32,0))&amp;INDEX([1]ETAPP!B$1:B$32,MATCH(COUNTIF(BI70:BR70,10),[1]ETAPP!A$1:A$32,0))&amp;INDEX([1]ETAPP!B$1:B$32,MATCH(COUNTIF(BI70:BR70,11),[1]ETAPP!A$1:A$32,0))&amp;INDEX([1]ETAPP!B$1:B$32,MATCH(COUNTIF(BI70:BR70,12),[1]ETAPP!A$1:A$32,0))&amp;INDEX([1]ETAPP!B$1:B$32,MATCH(COUNTIF(BI70:BR70,13),[1]ETAPP!A$1:A$32,0))&amp;INDEX([1]ETAPP!B$1:B$32,MATCH(COUNTIF(BI70:BR70,14),[1]ETAPP!A$1:A$32,0))&amp;INDEX([1]ETAPP!B$1:B$32,MATCH(COUNTIF(BI70:BR70,15),[1]ETAPP!A$1:A$32,0))&amp;INDEX([1]ETAPP!B$1:B$32,MATCH(COUNTIF(BI70:BR70,16),[1]ETAPP!A$1:A$32,0))&amp;INDEX([1]ETAPP!B$1:B$32,MATCH(COUNTIF(BI70:BR70,17),[1]ETAPP!A$1:A$32,0))&amp;INDEX([1]ETAPP!B$1:B$32,MATCH(COUNTIF(BI70:BR70,18),[1]ETAPP!A$1:A$32,0))&amp;INDEX([1]ETAPP!B$1:B$32,MATCH(COUNTIF(BI70:BR70,19),[1]ETAPP!A$1:A$32,0))&amp;INDEX([1]ETAPP!B$1:B$32,MATCH(COUNTIF(BI70:BR70,20),[1]ETAPP!A$1:A$32,0))&amp;INDEX([1]ETAPP!B$1:B$32,MATCH(COUNTIF(BI70:BR70,21),[1]ETAPP!A$1:A$32,0))</f>
        <v>000000000000000000000</v>
      </c>
      <c r="T70" s="561" t="str">
        <f t="shared" si="56"/>
        <v>000,0-000000000000000000000</v>
      </c>
      <c r="U70" s="561">
        <f t="shared" si="57"/>
        <v>114</v>
      </c>
      <c r="V70" s="561">
        <f t="shared" si="58"/>
        <v>101</v>
      </c>
      <c r="W70" s="561" t="str">
        <f t="shared" si="59"/>
        <v>000,0-000000000000000000000-101</v>
      </c>
      <c r="X70" s="561">
        <f t="shared" si="60"/>
        <v>64</v>
      </c>
      <c r="Y70" s="562">
        <f t="shared" si="61"/>
        <v>51</v>
      </c>
      <c r="Z70" s="563" t="str">
        <f>IFERROR(INDEX('V1'!C$300:C$400,MATCH("*"&amp;L70&amp;"*",'V1'!B$300:B$400,0)),"  ")</f>
        <v xml:space="preserve">  </v>
      </c>
      <c r="AA70" s="563" t="str">
        <f>IFERROR(INDEX('V2'!C$300:C$400,MATCH("*"&amp;L70&amp;"*",'V2'!B$300:B$400,0)),"  ")</f>
        <v xml:space="preserve">  </v>
      </c>
      <c r="AB70" s="563" t="str">
        <f>IFERROR(INDEX('V3'!C$300:C$400,MATCH("*"&amp;L70&amp;"*",'V3'!B$300:B$400,0)),"  ")</f>
        <v xml:space="preserve">  </v>
      </c>
      <c r="AC70" s="563" t="str">
        <f>IFERROR(INDEX('V4'!C$300:C$400,MATCH("*"&amp;L70&amp;"*",'V4'!B$300:B$400,0)),"  ")</f>
        <v xml:space="preserve">  </v>
      </c>
      <c r="AD70" s="563" t="str">
        <f>IFERROR(INDEX('V5'!C$300:C$400,MATCH("*"&amp;L70&amp;"*",'V5'!B$300:B$400,0)),"  ")</f>
        <v xml:space="preserve">  </v>
      </c>
      <c r="AE70" s="563" t="str">
        <f>IFERROR(INDEX('V6'!C$300:C$400,MATCH("*"&amp;L70&amp;"*",'V6'!B$300:B$400,0)),"  ")</f>
        <v xml:space="preserve">  </v>
      </c>
      <c r="AF70" s="563" t="str">
        <f>IFERROR(INDEX('V7'!C$300:C$400,MATCH("*"&amp;L70&amp;"*",'V7'!B$300:B$400,0)),"  ")</f>
        <v xml:space="preserve">  </v>
      </c>
      <c r="AG70" s="563" t="str">
        <f>IFERROR(INDEX('V8'!C$300:C$400,MATCH("*"&amp;L70&amp;"*",'V8'!B$300:B$400,0)),"  ")</f>
        <v xml:space="preserve">  </v>
      </c>
      <c r="AH70" s="563" t="str">
        <f>IFERROR(INDEX('V9'!C$300:C$400,MATCH("*"&amp;L70&amp;"*",'V9'!B$300:B$400,0)),"  ")</f>
        <v xml:space="preserve">  </v>
      </c>
      <c r="AI70" s="563" t="str">
        <f>IFERROR(INDEX('V10'!C$300:C$400,MATCH("*"&amp;L70&amp;"*",'V10'!B$300:B$400,0)),"  ")</f>
        <v xml:space="preserve">  </v>
      </c>
      <c r="AJ70" s="564" t="str">
        <f t="shared" si="62"/>
        <v/>
      </c>
      <c r="AK70" s="565">
        <f t="shared" si="63"/>
        <v>0</v>
      </c>
      <c r="AL70" s="566" t="str">
        <f t="shared" si="64"/>
        <v/>
      </c>
      <c r="AM70" s="567" t="str">
        <f>IFERROR(INDEX(#REF!,MATCH("*"&amp;L70&amp;"*",#REF!,0)),"  ")</f>
        <v xml:space="preserve">  </v>
      </c>
      <c r="AN70" s="568">
        <f t="shared" si="65"/>
        <v>0</v>
      </c>
      <c r="AO70" s="469">
        <f t="shared" si="66"/>
        <v>0</v>
      </c>
      <c r="AP70" s="469">
        <f t="shared" si="67"/>
        <v>0</v>
      </c>
      <c r="AQ70" s="569"/>
      <c r="AR70" s="569"/>
      <c r="AS70" s="569"/>
      <c r="AT70" s="570">
        <f t="shared" si="68"/>
        <v>1E-4</v>
      </c>
      <c r="AU70" s="571">
        <f t="shared" si="69"/>
        <v>1E-4</v>
      </c>
      <c r="AV70" s="571">
        <f t="shared" si="70"/>
        <v>2.0000000000000001E-4</v>
      </c>
      <c r="AW70" s="571">
        <f t="shared" si="71"/>
        <v>2.9999999999999997E-4</v>
      </c>
      <c r="AX70" s="571">
        <f t="shared" si="72"/>
        <v>4.0000000000000002E-4</v>
      </c>
      <c r="AY70" s="571">
        <f t="shared" si="73"/>
        <v>5.0000000000000001E-4</v>
      </c>
      <c r="AZ70" s="571">
        <f t="shared" si="74"/>
        <v>5.9999999999999995E-4</v>
      </c>
      <c r="BA70" s="571">
        <f t="shared" si="75"/>
        <v>6.9999999999999999E-4</v>
      </c>
      <c r="BB70" s="571">
        <f t="shared" si="76"/>
        <v>8.0000000000000004E-4</v>
      </c>
      <c r="BC70" s="571">
        <f t="shared" si="77"/>
        <v>8.9999999999999998E-4</v>
      </c>
      <c r="BD70" s="571">
        <f t="shared" si="78"/>
        <v>1E-3</v>
      </c>
      <c r="BE70" s="569"/>
      <c r="BF70" s="569"/>
      <c r="BG70" s="569"/>
      <c r="BH70" s="569"/>
      <c r="BI70" s="377" t="e">
        <f t="shared" si="79"/>
        <v>#VALUE!</v>
      </c>
      <c r="BJ70" s="377" t="e">
        <f t="shared" si="80"/>
        <v>#VALUE!</v>
      </c>
      <c r="BK70" s="377" t="e">
        <f t="shared" si="81"/>
        <v>#VALUE!</v>
      </c>
      <c r="BL70" s="377" t="e">
        <f t="shared" si="82"/>
        <v>#VALUE!</v>
      </c>
      <c r="BM70" s="377" t="e">
        <f t="shared" si="83"/>
        <v>#VALUE!</v>
      </c>
      <c r="BN70" s="377" t="e">
        <f t="shared" si="84"/>
        <v>#VALUE!</v>
      </c>
      <c r="BO70" s="377" t="e">
        <f t="shared" si="85"/>
        <v>#VALUE!</v>
      </c>
      <c r="BP70" s="377" t="e">
        <f t="shared" si="86"/>
        <v>#VALUE!</v>
      </c>
      <c r="BQ70" s="377" t="e">
        <f t="shared" si="87"/>
        <v>#VALUE!</v>
      </c>
      <c r="BR70" s="377" t="e">
        <f t="shared" si="88"/>
        <v>#VALUE!</v>
      </c>
    </row>
    <row r="71" spans="1:70" ht="12.75" hidden="1" customHeight="1" x14ac:dyDescent="0.2">
      <c r="A71" s="484" t="str">
        <f t="shared" ref="A71:A102" si="89">IF(R71&gt;0,IF(Q71="Viru SK",RANK(B71,B$7:B$120,1)-COUNTIF((Q$7:Q$120),"&lt;&gt;Viru SK"),""),"")</f>
        <v/>
      </c>
      <c r="B71" s="485">
        <f t="shared" ref="B71:B102" si="90">IF((Q71="Viru SK"),U71,U71-1000)</f>
        <v>114</v>
      </c>
      <c r="C71" s="486" t="str">
        <f t="shared" ref="C71:C102" si="91">IF(R71&gt;0,IF(P71="t",RANK(D71,D$7:D$120,1)-COUNTBLANK(P$7:P$120),""),"")</f>
        <v/>
      </c>
      <c r="D71" s="487">
        <f t="shared" ref="D71:D102" si="92">IF((P71="t"),U71,U71-1000)</f>
        <v>-886</v>
      </c>
      <c r="E71" s="488" t="str">
        <f t="shared" ref="E71:E102" si="93">IF(R71&gt;0,IF(N71="m",RANK(F71,F$7:F$120,1)-COUNTBLANK(N$7:N$120),""),"")</f>
        <v/>
      </c>
      <c r="F71" s="489">
        <f t="shared" ref="F71:F102" si="94">IF((N71="m"),U71,U71-1000)</f>
        <v>114</v>
      </c>
      <c r="G71" s="490" t="str">
        <f t="shared" ref="G71:G102" si="95">IF(R71&gt;0,IF(M71="n",RANK(H71,H$7:H$120,1)-COUNTBLANK(M$7:M$120),""),"")</f>
        <v/>
      </c>
      <c r="H71" s="489">
        <f t="shared" ref="H71:H102" si="96">IF((M71="n"),U71,U71-1000)</f>
        <v>-886</v>
      </c>
      <c r="I71" s="491" t="str">
        <f t="shared" ref="I71:I102" si="97">IF(R71&gt;0,IF(O71="j",RANK(J71,J$7:J$120,1)-COUNTBLANK(O$7:O$120),""),"")</f>
        <v/>
      </c>
      <c r="J71" s="554">
        <f t="shared" ref="J71:J102" si="98">IF((O71="j"),U71,U71-1000)</f>
        <v>-886</v>
      </c>
      <c r="K71" s="526" t="str">
        <f t="shared" ref="K71:K102" si="99">IF(R71&gt;0,RANK(U71,U$7:U$120,1),"")</f>
        <v/>
      </c>
      <c r="L71" s="572" t="s">
        <v>213</v>
      </c>
      <c r="M71" s="556"/>
      <c r="N71" s="557" t="str">
        <f>IF(M71="","m","")</f>
        <v>m</v>
      </c>
      <c r="O71" s="558"/>
      <c r="P71" s="559"/>
      <c r="Q71" s="560" t="s">
        <v>148</v>
      </c>
      <c r="R71" s="539">
        <f>(IF(COUNT(Z71,AA71,AB71,AC71,AD71,AE71,AF71,AG71,AH71,AI71)&lt;10,SUM(Z71,AA71,AB71,AC71,AD71,AE71,AF71,AG71,AH71,AI71),SUM(LARGE((Z71,AA71,AB71,AC71,AD71,AE71,AF71,AG71,AH71,AI71),{1;2;3;4;5;6;7;8;9}))))</f>
        <v>0</v>
      </c>
      <c r="S71" s="561" t="str">
        <f>INDEX([1]ETAPP!B$1:B$32,MATCH(COUNTIF(BI71:BR71,1),[1]ETAPP!A$1:A$32,0))&amp;INDEX([1]ETAPP!B$1:B$32,MATCH(COUNTIF(BI71:BR71,2),[1]ETAPP!A$1:A$32,0))&amp;INDEX([1]ETAPP!B$1:B$32,MATCH(COUNTIF(BI71:BR71,3),[1]ETAPP!A$1:A$32,0))&amp;INDEX([1]ETAPP!B$1:B$32,MATCH(COUNTIF(BI71:BR71,4),[1]ETAPP!A$1:A$32,0))&amp;INDEX([1]ETAPP!B$1:B$32,MATCH(COUNTIF(BI71:BR71,5),[1]ETAPP!A$1:A$32,0))&amp;INDEX([1]ETAPP!B$1:B$32,MATCH(COUNTIF(BI71:BR71,6),[1]ETAPP!A$1:A$32,0))&amp;INDEX([1]ETAPP!B$1:B$32,MATCH(COUNTIF(BI71:BR71,7),[1]ETAPP!A$1:A$32,0))&amp;INDEX([1]ETAPP!B$1:B$32,MATCH(COUNTIF(BI71:BR71,8),[1]ETAPP!A$1:A$32,0))&amp;INDEX([1]ETAPP!B$1:B$32,MATCH(COUNTIF(BI71:BR71,9),[1]ETAPP!A$1:A$32,0))&amp;INDEX([1]ETAPP!B$1:B$32,MATCH(COUNTIF(BI71:BR71,10),[1]ETAPP!A$1:A$32,0))&amp;INDEX([1]ETAPP!B$1:B$32,MATCH(COUNTIF(BI71:BR71,11),[1]ETAPP!A$1:A$32,0))&amp;INDEX([1]ETAPP!B$1:B$32,MATCH(COUNTIF(BI71:BR71,12),[1]ETAPP!A$1:A$32,0))&amp;INDEX([1]ETAPP!B$1:B$32,MATCH(COUNTIF(BI71:BR71,13),[1]ETAPP!A$1:A$32,0))&amp;INDEX([1]ETAPP!B$1:B$32,MATCH(COUNTIF(BI71:BR71,14),[1]ETAPP!A$1:A$32,0))&amp;INDEX([1]ETAPP!B$1:B$32,MATCH(COUNTIF(BI71:BR71,15),[1]ETAPP!A$1:A$32,0))&amp;INDEX([1]ETAPP!B$1:B$32,MATCH(COUNTIF(BI71:BR71,16),[1]ETAPP!A$1:A$32,0))&amp;INDEX([1]ETAPP!B$1:B$32,MATCH(COUNTIF(BI71:BR71,17),[1]ETAPP!A$1:A$32,0))&amp;INDEX([1]ETAPP!B$1:B$32,MATCH(COUNTIF(BI71:BR71,18),[1]ETAPP!A$1:A$32,0))&amp;INDEX([1]ETAPP!B$1:B$32,MATCH(COUNTIF(BI71:BR71,19),[1]ETAPP!A$1:A$32,0))&amp;INDEX([1]ETAPP!B$1:B$32,MATCH(COUNTIF(BI71:BR71,20),[1]ETAPP!A$1:A$32,0))&amp;INDEX([1]ETAPP!B$1:B$32,MATCH(COUNTIF(BI71:BR71,21),[1]ETAPP!A$1:A$32,0))</f>
        <v>000000000000000000000</v>
      </c>
      <c r="T71" s="561" t="str">
        <f t="shared" ref="T71:T102" si="100">TEXT(R71,"000,0")&amp;"-"&amp;S71</f>
        <v>000,0-000000000000000000000</v>
      </c>
      <c r="U71" s="561">
        <f t="shared" ref="U71:U102" si="101">COUNTIF(T$7:T$120,"&gt;="&amp;T71)</f>
        <v>114</v>
      </c>
      <c r="V71" s="561">
        <f t="shared" ref="V71:V102" si="102">COUNTIF(L$7:L$120,"&gt;="&amp;L71)</f>
        <v>100</v>
      </c>
      <c r="W71" s="561" t="str">
        <f t="shared" ref="W71:W102" si="103">TEXT(R71,"000,0")&amp;"-"&amp;S71&amp;"-"&amp;TEXT(V71,"000")</f>
        <v>000,0-000000000000000000000-100</v>
      </c>
      <c r="X71" s="561">
        <f t="shared" ref="X71:X102" si="104">COUNTIF(W$7:W$120,"&gt;="&amp;W71)</f>
        <v>65</v>
      </c>
      <c r="Y71" s="562">
        <f t="shared" ref="Y71:Y102" si="105">RANK(X71,X$7:X$120,0)</f>
        <v>50</v>
      </c>
      <c r="Z71" s="563" t="str">
        <f>IFERROR(INDEX('V1'!C$300:C$400,MATCH("*"&amp;L71&amp;"*",'V1'!B$300:B$400,0)),"  ")</f>
        <v xml:space="preserve">  </v>
      </c>
      <c r="AA71" s="563" t="str">
        <f>IFERROR(INDEX('V2'!C$300:C$400,MATCH("*"&amp;L71&amp;"*",'V2'!B$300:B$400,0)),"  ")</f>
        <v xml:space="preserve">  </v>
      </c>
      <c r="AB71" s="563" t="str">
        <f>IFERROR(INDEX('V3'!C$300:C$400,MATCH("*"&amp;L71&amp;"*",'V3'!B$300:B$400,0)),"  ")</f>
        <v xml:space="preserve">  </v>
      </c>
      <c r="AC71" s="563" t="str">
        <f>IFERROR(INDEX('V4'!C$300:C$400,MATCH("*"&amp;L71&amp;"*",'V4'!B$300:B$400,0)),"  ")</f>
        <v xml:space="preserve">  </v>
      </c>
      <c r="AD71" s="563" t="str">
        <f>IFERROR(INDEX('V5'!C$300:C$400,MATCH("*"&amp;L71&amp;"*",'V5'!B$300:B$400,0)),"  ")</f>
        <v xml:space="preserve">  </v>
      </c>
      <c r="AE71" s="563" t="str">
        <f>IFERROR(INDEX('V6'!C$300:C$400,MATCH("*"&amp;L71&amp;"*",'V6'!B$300:B$400,0)),"  ")</f>
        <v xml:space="preserve">  </v>
      </c>
      <c r="AF71" s="563" t="str">
        <f>IFERROR(INDEX('V7'!C$300:C$400,MATCH("*"&amp;L71&amp;"*",'V7'!B$300:B$400,0)),"  ")</f>
        <v xml:space="preserve">  </v>
      </c>
      <c r="AG71" s="563" t="str">
        <f>IFERROR(INDEX('V8'!C$300:C$400,MATCH("*"&amp;L71&amp;"*",'V8'!B$300:B$400,0)),"  ")</f>
        <v xml:space="preserve">  </v>
      </c>
      <c r="AH71" s="563" t="str">
        <f>IFERROR(INDEX('V9'!C$300:C$400,MATCH("*"&amp;L71&amp;"*",'V9'!B$300:B$400,0)),"  ")</f>
        <v xml:space="preserve">  </v>
      </c>
      <c r="AI71" s="563" t="str">
        <f>IFERROR(INDEX('V10'!C$300:C$400,MATCH("*"&amp;L71&amp;"*",'V10'!B$300:B$400,0)),"  ")</f>
        <v xml:space="preserve">  </v>
      </c>
      <c r="AJ71" s="564" t="str">
        <f t="shared" ref="AJ71:AJ102" si="106">IF(AN71&gt;(AT$2-1),K71,"")</f>
        <v/>
      </c>
      <c r="AK71" s="565">
        <f t="shared" ref="AK71:AK102" si="107">SUM(Z71:AI71)</f>
        <v>0</v>
      </c>
      <c r="AL71" s="566" t="str">
        <f t="shared" ref="AL71:AL102" si="108">IFERROR("edasi "&amp;RANK(AJ71,AJ$7:AJ$120,1),K71)</f>
        <v/>
      </c>
      <c r="AM71" s="567" t="str">
        <f>IFERROR(INDEX(#REF!,MATCH("*"&amp;L71&amp;"*",#REF!,0)),"  ")</f>
        <v xml:space="preserve">  </v>
      </c>
      <c r="AN71" s="568">
        <f t="shared" ref="AN71:AN102" si="109">COUNTIF(Z71:AI71,"&gt;=0")</f>
        <v>0</v>
      </c>
      <c r="AO71" s="469">
        <f t="shared" ref="AO71:AO102" si="110">IFERROR(IF(Z71+1&gt;LARGE(Z$7:Z$120,1)-2*LEN(Z$5),1),0)+IFERROR(IF(AA71+1&gt;LARGE(AA$7:AA$120,1)-2*LEN(AA$5),1),0)+IFERROR(IF(AB71+1&gt;LARGE(AB$7:AB$120,1)-2*LEN(AB$5),1),0)+IFERROR(IF(AC71+1&gt;LARGE(AC$7:AC$120,1)-2*LEN(AC$5),1),0)+IFERROR(IF(AD71+1&gt;LARGE(AD$7:AD$120,1)-2*LEN(AD$5),1),0)+IFERROR(IF(AE71+1&gt;LARGE(AE$7:AE$120,1)-2*LEN(AE$5),1),0)+IFERROR(IF(AF71+1&gt;LARGE(AF$7:AF$120,1)-2*LEN(AF$5),1),0)+IFERROR(IF(AG71+1&gt;LARGE(AG$7:AG$120,1)-2*LEN(AG$5),1),0)+IFERROR(IF(AH71+1&gt;LARGE(AH$7:AH$120,1)-2*LEN(AH$5),1),0)+IFERROR(IF(AI71+1&gt;LARGE(AI$7:AI$120,1)-2*LEN(AI$5),1),0)</f>
        <v>0</v>
      </c>
      <c r="AP71" s="469">
        <f t="shared" ref="AP71:AP102" si="111">IF(Z71=0,0,IF(Z71=IFERROR(LARGE(Z$7:Z$120,1),0),1,0))+IF(AA71=0,0,IF(AA71=IFERROR(LARGE(AA$7:AA$120,1),0),1,0))+IF(AB71=0,0,IF(AB71=IFERROR(LARGE(AB$7:AB$120,1),0),1,0))+IF(AC71=0,0,IF(AC71=IFERROR(LARGE(AC$7:AC$120,1),0),1,0))+IF(AD71=0,0,IF(AD71=IFERROR(LARGE(AD$7:AD$120,1),0),1,0))+IF(AE71=0,0,IF(AE71=IFERROR(LARGE(AE$7:AE$120,1),0),1,0))+IF(AF71=0,0,IF(AF71=IFERROR(LARGE(AF$7:AF$120,1),0),1,0))+IF(AG71=0,0,IF(AG71=IFERROR(LARGE(AG$7:AG$120,1),0),1,0))+IF(AH71=0,0,IF(AH71=IFERROR(LARGE(AH$7:AH$120,1),0),1,0))+IF(AI71=0,0,IF(AI71=IFERROR(LARGE(AI$7:AI$120,1),0),1,0))</f>
        <v>0</v>
      </c>
      <c r="AQ71" s="569"/>
      <c r="AR71" s="569"/>
      <c r="AS71" s="569"/>
      <c r="AT71" s="570">
        <f t="shared" ref="AT71:AT102" si="112">SMALL(AU71:BD71,AT$3)</f>
        <v>1E-4</v>
      </c>
      <c r="AU71" s="571">
        <f t="shared" ref="AU71:AU102" si="113">IF(Z71="  ",0+MID(Z$6,FIND("V",Z$6)+1,256)/10000,Z71+MID(Z$6,FIND("V",Z$6)+1,256)/10000)</f>
        <v>1E-4</v>
      </c>
      <c r="AV71" s="571">
        <f t="shared" ref="AV71:AV102" si="114">IF(AA71="  ",0+MID(AA$6,FIND("V",AA$6)+1,256)/10000,AA71+MID(AA$6,FIND("V",AA$6)+1,256)/10000)</f>
        <v>2.0000000000000001E-4</v>
      </c>
      <c r="AW71" s="571">
        <f t="shared" ref="AW71:AW102" si="115">IF(AB71="  ",0+MID(AB$6,FIND("V",AB$6)+1,256)/10000,AB71+MID(AB$6,FIND("V",AB$6)+1,256)/10000)</f>
        <v>2.9999999999999997E-4</v>
      </c>
      <c r="AX71" s="571">
        <f t="shared" ref="AX71:AX102" si="116">IF(AC71="  ",0+MID(AC$6,FIND("V",AC$6)+1,256)/10000,AC71+MID(AC$6,FIND("V",AC$6)+1,256)/10000)</f>
        <v>4.0000000000000002E-4</v>
      </c>
      <c r="AY71" s="571">
        <f t="shared" ref="AY71:AY102" si="117">IF(AD71="  ",0+MID(AD$6,FIND("V",AD$6)+1,256)/10000,AD71+MID(AD$6,FIND("V",AD$6)+1,256)/10000)</f>
        <v>5.0000000000000001E-4</v>
      </c>
      <c r="AZ71" s="571">
        <f t="shared" ref="AZ71:AZ102" si="118">IF(AE71="  ",0+MID(AE$6,FIND("V",AE$6)+1,256)/10000,AE71+MID(AE$6,FIND("V",AE$6)+1,256)/10000)</f>
        <v>5.9999999999999995E-4</v>
      </c>
      <c r="BA71" s="571">
        <f t="shared" ref="BA71:BA102" si="119">IF(AF71="  ",0+MID(AF$6,FIND("V",AF$6)+1,256)/10000,AF71+MID(AF$6,FIND("V",AF$6)+1,256)/10000)</f>
        <v>6.9999999999999999E-4</v>
      </c>
      <c r="BB71" s="571">
        <f t="shared" ref="BB71:BB102" si="120">IF(AG71="  ",0+MID(AG$6,FIND("V",AG$6)+1,256)/10000,AG71+MID(AG$6,FIND("V",AG$6)+1,256)/10000)</f>
        <v>8.0000000000000004E-4</v>
      </c>
      <c r="BC71" s="571">
        <f t="shared" ref="BC71:BC102" si="121">IF(AH71="  ",0+MID(AH$6,FIND("V",AH$6)+1,256)/10000,AH71+MID(AH$6,FIND("V",AH$6)+1,256)/10000)</f>
        <v>8.9999999999999998E-4</v>
      </c>
      <c r="BD71" s="571">
        <f t="shared" ref="BD71:BD102" si="122">IF(AI71="  ",0+MID(AI$6,FIND("V",AI$6)+1,256)/10000,AI71+MID(AI$6,FIND("V",AI$6)+1,256)/10000)</f>
        <v>1E-3</v>
      </c>
      <c r="BE71" s="569"/>
      <c r="BF71" s="569"/>
      <c r="BG71" s="569"/>
      <c r="BH71" s="569"/>
      <c r="BI71" s="377" t="e">
        <f t="shared" ref="BI71:BI102" si="123">(LARGE(Z$7:Z$120,1)-Z71)/2+1</f>
        <v>#VALUE!</v>
      </c>
      <c r="BJ71" s="377" t="e">
        <f t="shared" ref="BJ71:BJ102" si="124">(LARGE(AA$7:AA$120,1)-AA71)/2+1</f>
        <v>#VALUE!</v>
      </c>
      <c r="BK71" s="377" t="e">
        <f t="shared" ref="BK71:BK102" si="125">(LARGE(AB$7:AB$120,1)-AB71)/2+1</f>
        <v>#VALUE!</v>
      </c>
      <c r="BL71" s="377" t="e">
        <f t="shared" ref="BL71:BL102" si="126">(LARGE(AC$7:AC$120,1)-AC71)/2+1</f>
        <v>#VALUE!</v>
      </c>
      <c r="BM71" s="377" t="e">
        <f t="shared" ref="BM71:BM102" si="127">(LARGE(AD$7:AD$120,1)-AD71)/2+1</f>
        <v>#VALUE!</v>
      </c>
      <c r="BN71" s="377" t="e">
        <f t="shared" ref="BN71:BN102" si="128">(LARGE(AE$7:AE$120,1)-AE71)/2+1</f>
        <v>#VALUE!</v>
      </c>
      <c r="BO71" s="377" t="e">
        <f t="shared" ref="BO71:BO102" si="129">(LARGE(AF$7:AF$120,1)-AF71)/2+1</f>
        <v>#VALUE!</v>
      </c>
      <c r="BP71" s="377" t="e">
        <f t="shared" ref="BP71:BP102" si="130">(LARGE(AG$7:AG$120,1)-AG71)/2+1</f>
        <v>#VALUE!</v>
      </c>
      <c r="BQ71" s="377" t="e">
        <f t="shared" ref="BQ71:BQ102" si="131">(LARGE(AH$7:AH$120,1)-AH71)/2+1</f>
        <v>#VALUE!</v>
      </c>
      <c r="BR71" s="377" t="e">
        <f t="shared" ref="BR71:BR102" si="132">(LARGE(AI$7:AI$120,1)-AI71)/2+1</f>
        <v>#VALUE!</v>
      </c>
    </row>
    <row r="72" spans="1:70" ht="12.75" hidden="1" customHeight="1" x14ac:dyDescent="0.2">
      <c r="A72" s="484" t="str">
        <f t="shared" si="89"/>
        <v/>
      </c>
      <c r="B72" s="485">
        <f t="shared" si="90"/>
        <v>-886</v>
      </c>
      <c r="C72" s="486" t="str">
        <f t="shared" si="91"/>
        <v/>
      </c>
      <c r="D72" s="487">
        <f t="shared" si="92"/>
        <v>-886</v>
      </c>
      <c r="E72" s="488" t="str">
        <f t="shared" si="93"/>
        <v/>
      </c>
      <c r="F72" s="489">
        <f t="shared" si="94"/>
        <v>-886</v>
      </c>
      <c r="G72" s="490" t="str">
        <f t="shared" si="95"/>
        <v/>
      </c>
      <c r="H72" s="489">
        <f t="shared" si="96"/>
        <v>114</v>
      </c>
      <c r="I72" s="491" t="str">
        <f t="shared" si="97"/>
        <v/>
      </c>
      <c r="J72" s="554">
        <f t="shared" si="98"/>
        <v>-886</v>
      </c>
      <c r="K72" s="526" t="str">
        <f t="shared" si="99"/>
        <v/>
      </c>
      <c r="L72" s="555" t="s">
        <v>280</v>
      </c>
      <c r="M72" s="556" t="s">
        <v>170</v>
      </c>
      <c r="N72" s="557"/>
      <c r="O72" s="579"/>
      <c r="P72" s="559"/>
      <c r="Q72" s="560" t="s">
        <v>268</v>
      </c>
      <c r="R72" s="539">
        <f>(IF(COUNT(Z72,AA72,AB72,AC72,AD72,AE72,AF72,AG72,AH72,AI72)&lt;10,SUM(Z72,AA72,AB72,AC72,AD72,AE72,AF72,AG72,AH72,AI72),SUM(LARGE((Z72,AA72,AB72,AC72,AD72,AE72,AF72,AG72,AH72,AI72),{1;2;3;4;5;6;7;8;9}))))</f>
        <v>0</v>
      </c>
      <c r="S72" s="561" t="str">
        <f>INDEX([1]ETAPP!B$1:B$32,MATCH(COUNTIF(BI72:BR72,1),[1]ETAPP!A$1:A$32,0))&amp;INDEX([1]ETAPP!B$1:B$32,MATCH(COUNTIF(BI72:BR72,2),[1]ETAPP!A$1:A$32,0))&amp;INDEX([1]ETAPP!B$1:B$32,MATCH(COUNTIF(BI72:BR72,3),[1]ETAPP!A$1:A$32,0))&amp;INDEX([1]ETAPP!B$1:B$32,MATCH(COUNTIF(BI72:BR72,4),[1]ETAPP!A$1:A$32,0))&amp;INDEX([1]ETAPP!B$1:B$32,MATCH(COUNTIF(BI72:BR72,5),[1]ETAPP!A$1:A$32,0))&amp;INDEX([1]ETAPP!B$1:B$32,MATCH(COUNTIF(BI72:BR72,6),[1]ETAPP!A$1:A$32,0))&amp;INDEX([1]ETAPP!B$1:B$32,MATCH(COUNTIF(BI72:BR72,7),[1]ETAPP!A$1:A$32,0))&amp;INDEX([1]ETAPP!B$1:B$32,MATCH(COUNTIF(BI72:BR72,8),[1]ETAPP!A$1:A$32,0))&amp;INDEX([1]ETAPP!B$1:B$32,MATCH(COUNTIF(BI72:BR72,9),[1]ETAPP!A$1:A$32,0))&amp;INDEX([1]ETAPP!B$1:B$32,MATCH(COUNTIF(BI72:BR72,10),[1]ETAPP!A$1:A$32,0))&amp;INDEX([1]ETAPP!B$1:B$32,MATCH(COUNTIF(BI72:BR72,11),[1]ETAPP!A$1:A$32,0))&amp;INDEX([1]ETAPP!B$1:B$32,MATCH(COUNTIF(BI72:BR72,12),[1]ETAPP!A$1:A$32,0))&amp;INDEX([1]ETAPP!B$1:B$32,MATCH(COUNTIF(BI72:BR72,13),[1]ETAPP!A$1:A$32,0))&amp;INDEX([1]ETAPP!B$1:B$32,MATCH(COUNTIF(BI72:BR72,14),[1]ETAPP!A$1:A$32,0))&amp;INDEX([1]ETAPP!B$1:B$32,MATCH(COUNTIF(BI72:BR72,15),[1]ETAPP!A$1:A$32,0))&amp;INDEX([1]ETAPP!B$1:B$32,MATCH(COUNTIF(BI72:BR72,16),[1]ETAPP!A$1:A$32,0))&amp;INDEX([1]ETAPP!B$1:B$32,MATCH(COUNTIF(BI72:BR72,17),[1]ETAPP!A$1:A$32,0))&amp;INDEX([1]ETAPP!B$1:B$32,MATCH(COUNTIF(BI72:BR72,18),[1]ETAPP!A$1:A$32,0))&amp;INDEX([1]ETAPP!B$1:B$32,MATCH(COUNTIF(BI72:BR72,19),[1]ETAPP!A$1:A$32,0))&amp;INDEX([1]ETAPP!B$1:B$32,MATCH(COUNTIF(BI72:BR72,20),[1]ETAPP!A$1:A$32,0))&amp;INDEX([1]ETAPP!B$1:B$32,MATCH(COUNTIF(BI72:BR72,21),[1]ETAPP!A$1:A$32,0))</f>
        <v>000000000000000000000</v>
      </c>
      <c r="T72" s="561" t="str">
        <f t="shared" si="100"/>
        <v>000,0-000000000000000000000</v>
      </c>
      <c r="U72" s="561">
        <f t="shared" si="101"/>
        <v>114</v>
      </c>
      <c r="V72" s="561">
        <f t="shared" si="102"/>
        <v>99</v>
      </c>
      <c r="W72" s="561" t="str">
        <f t="shared" si="103"/>
        <v>000,0-000000000000000000000-099</v>
      </c>
      <c r="X72" s="561">
        <f t="shared" si="104"/>
        <v>66</v>
      </c>
      <c r="Y72" s="562">
        <f t="shared" si="105"/>
        <v>49</v>
      </c>
      <c r="Z72" s="563" t="str">
        <f>IFERROR(INDEX('V1'!C$300:C$400,MATCH("*"&amp;L72&amp;"*",'V1'!B$300:B$400,0)),"  ")</f>
        <v xml:space="preserve">  </v>
      </c>
      <c r="AA72" s="563" t="str">
        <f>IFERROR(INDEX('V2'!C$300:C$400,MATCH("*"&amp;L72&amp;"*",'V2'!B$300:B$400,0)),"  ")</f>
        <v xml:space="preserve">  </v>
      </c>
      <c r="AB72" s="563" t="str">
        <f>IFERROR(INDEX('V3'!C$300:C$400,MATCH("*"&amp;L72&amp;"*",'V3'!B$300:B$400,0)),"  ")</f>
        <v xml:space="preserve">  </v>
      </c>
      <c r="AC72" s="563" t="str">
        <f>IFERROR(INDEX('V4'!C$300:C$400,MATCH("*"&amp;L72&amp;"*",'V4'!B$300:B$400,0)),"  ")</f>
        <v xml:space="preserve">  </v>
      </c>
      <c r="AD72" s="563" t="str">
        <f>IFERROR(INDEX('V5'!C$300:C$400,MATCH("*"&amp;L72&amp;"*",'V5'!B$300:B$400,0)),"  ")</f>
        <v xml:space="preserve">  </v>
      </c>
      <c r="AE72" s="563" t="str">
        <f>IFERROR(INDEX('V6'!C$300:C$400,MATCH("*"&amp;L72&amp;"*",'V6'!B$300:B$400,0)),"  ")</f>
        <v xml:space="preserve">  </v>
      </c>
      <c r="AF72" s="563" t="str">
        <f>IFERROR(INDEX('V7'!C$300:C$400,MATCH("*"&amp;L72&amp;"*",'V7'!B$300:B$400,0)),"  ")</f>
        <v xml:space="preserve">  </v>
      </c>
      <c r="AG72" s="563" t="str">
        <f>IFERROR(INDEX('V8'!C$300:C$400,MATCH("*"&amp;L72&amp;"*",'V8'!B$300:B$400,0)),"  ")</f>
        <v xml:space="preserve">  </v>
      </c>
      <c r="AH72" s="563" t="str">
        <f>IFERROR(INDEX('V9'!C$300:C$400,MATCH("*"&amp;L72&amp;"*",'V9'!B$300:B$400,0)),"  ")</f>
        <v xml:space="preserve">  </v>
      </c>
      <c r="AI72" s="563" t="str">
        <f>IFERROR(INDEX('V10'!C$300:C$400,MATCH("*"&amp;L72&amp;"*",'V10'!B$300:B$400,0)),"  ")</f>
        <v xml:space="preserve">  </v>
      </c>
      <c r="AJ72" s="564" t="str">
        <f t="shared" si="106"/>
        <v/>
      </c>
      <c r="AK72" s="565">
        <f t="shared" si="107"/>
        <v>0</v>
      </c>
      <c r="AL72" s="566" t="str">
        <f t="shared" si="108"/>
        <v/>
      </c>
      <c r="AM72" s="567" t="str">
        <f>IFERROR(INDEX(#REF!,MATCH("*"&amp;L72&amp;"*",#REF!,0)),"  ")</f>
        <v xml:space="preserve">  </v>
      </c>
      <c r="AN72" s="568">
        <f t="shared" si="109"/>
        <v>0</v>
      </c>
      <c r="AO72" s="469">
        <f t="shared" si="110"/>
        <v>0</v>
      </c>
      <c r="AP72" s="469">
        <f t="shared" si="111"/>
        <v>0</v>
      </c>
      <c r="AQ72" s="569"/>
      <c r="AR72" s="569"/>
      <c r="AS72" s="569"/>
      <c r="AT72" s="570">
        <f t="shared" si="112"/>
        <v>1E-4</v>
      </c>
      <c r="AU72" s="571">
        <f t="shared" si="113"/>
        <v>1E-4</v>
      </c>
      <c r="AV72" s="571">
        <f t="shared" si="114"/>
        <v>2.0000000000000001E-4</v>
      </c>
      <c r="AW72" s="571">
        <f t="shared" si="115"/>
        <v>2.9999999999999997E-4</v>
      </c>
      <c r="AX72" s="571">
        <f t="shared" si="116"/>
        <v>4.0000000000000002E-4</v>
      </c>
      <c r="AY72" s="571">
        <f t="shared" si="117"/>
        <v>5.0000000000000001E-4</v>
      </c>
      <c r="AZ72" s="571">
        <f t="shared" si="118"/>
        <v>5.9999999999999995E-4</v>
      </c>
      <c r="BA72" s="571">
        <f t="shared" si="119"/>
        <v>6.9999999999999999E-4</v>
      </c>
      <c r="BB72" s="571">
        <f t="shared" si="120"/>
        <v>8.0000000000000004E-4</v>
      </c>
      <c r="BC72" s="571">
        <f t="shared" si="121"/>
        <v>8.9999999999999998E-4</v>
      </c>
      <c r="BD72" s="571">
        <f t="shared" si="122"/>
        <v>1E-3</v>
      </c>
      <c r="BE72" s="569"/>
      <c r="BF72" s="569"/>
      <c r="BG72" s="569"/>
      <c r="BH72" s="569"/>
      <c r="BI72" s="377" t="e">
        <f t="shared" si="123"/>
        <v>#VALUE!</v>
      </c>
      <c r="BJ72" s="377" t="e">
        <f t="shared" si="124"/>
        <v>#VALUE!</v>
      </c>
      <c r="BK72" s="377" t="e">
        <f t="shared" si="125"/>
        <v>#VALUE!</v>
      </c>
      <c r="BL72" s="377" t="e">
        <f t="shared" si="126"/>
        <v>#VALUE!</v>
      </c>
      <c r="BM72" s="377" t="e">
        <f t="shared" si="127"/>
        <v>#VALUE!</v>
      </c>
      <c r="BN72" s="377" t="e">
        <f t="shared" si="128"/>
        <v>#VALUE!</v>
      </c>
      <c r="BO72" s="377" t="e">
        <f t="shared" si="129"/>
        <v>#VALUE!</v>
      </c>
      <c r="BP72" s="377" t="e">
        <f t="shared" si="130"/>
        <v>#VALUE!</v>
      </c>
      <c r="BQ72" s="377" t="e">
        <f t="shared" si="131"/>
        <v>#VALUE!</v>
      </c>
      <c r="BR72" s="377" t="e">
        <f t="shared" si="132"/>
        <v>#VALUE!</v>
      </c>
    </row>
    <row r="73" spans="1:70" ht="12.75" hidden="1" customHeight="1" x14ac:dyDescent="0.2">
      <c r="A73" s="484" t="str">
        <f t="shared" si="89"/>
        <v/>
      </c>
      <c r="B73" s="485">
        <f t="shared" si="90"/>
        <v>114</v>
      </c>
      <c r="C73" s="486" t="str">
        <f t="shared" si="91"/>
        <v/>
      </c>
      <c r="D73" s="487">
        <f t="shared" si="92"/>
        <v>114</v>
      </c>
      <c r="E73" s="488" t="str">
        <f t="shared" si="93"/>
        <v/>
      </c>
      <c r="F73" s="489">
        <f t="shared" si="94"/>
        <v>-886</v>
      </c>
      <c r="G73" s="490" t="str">
        <f t="shared" si="95"/>
        <v/>
      </c>
      <c r="H73" s="489">
        <f t="shared" si="96"/>
        <v>114</v>
      </c>
      <c r="I73" s="491" t="str">
        <f t="shared" si="97"/>
        <v/>
      </c>
      <c r="J73" s="554">
        <f t="shared" si="98"/>
        <v>114</v>
      </c>
      <c r="K73" s="526" t="str">
        <f t="shared" si="99"/>
        <v/>
      </c>
      <c r="L73" s="555" t="s">
        <v>214</v>
      </c>
      <c r="M73" s="556" t="s">
        <v>170</v>
      </c>
      <c r="N73" s="557" t="str">
        <f>IF(M73="","m","")</f>
        <v/>
      </c>
      <c r="O73" s="558" t="s">
        <v>190</v>
      </c>
      <c r="P73" s="559" t="s">
        <v>269</v>
      </c>
      <c r="Q73" s="560" t="s">
        <v>148</v>
      </c>
      <c r="R73" s="539">
        <f>(IF(COUNT(Z73,AA73,AB73,AC73,AD73,AE73,AF73,AG73,AH73,AI73)&lt;10,SUM(Z73,AA73,AB73,AC73,AD73,AE73,AF73,AG73,AH73,AI73),SUM(LARGE((Z73,AA73,AB73,AC73,AD73,AE73,AF73,AG73,AH73,AI73),{1;2;3;4;5;6;7;8;9}))))</f>
        <v>0</v>
      </c>
      <c r="S73" s="561" t="str">
        <f>INDEX([1]ETAPP!B$1:B$32,MATCH(COUNTIF(BI73:BR73,1),[1]ETAPP!A$1:A$32,0))&amp;INDEX([1]ETAPP!B$1:B$32,MATCH(COUNTIF(BI73:BR73,2),[1]ETAPP!A$1:A$32,0))&amp;INDEX([1]ETAPP!B$1:B$32,MATCH(COUNTIF(BI73:BR73,3),[1]ETAPP!A$1:A$32,0))&amp;INDEX([1]ETAPP!B$1:B$32,MATCH(COUNTIF(BI73:BR73,4),[1]ETAPP!A$1:A$32,0))&amp;INDEX([1]ETAPP!B$1:B$32,MATCH(COUNTIF(BI73:BR73,5),[1]ETAPP!A$1:A$32,0))&amp;INDEX([1]ETAPP!B$1:B$32,MATCH(COUNTIF(BI73:BR73,6),[1]ETAPP!A$1:A$32,0))&amp;INDEX([1]ETAPP!B$1:B$32,MATCH(COUNTIF(BI73:BR73,7),[1]ETAPP!A$1:A$32,0))&amp;INDEX([1]ETAPP!B$1:B$32,MATCH(COUNTIF(BI73:BR73,8),[1]ETAPP!A$1:A$32,0))&amp;INDEX([1]ETAPP!B$1:B$32,MATCH(COUNTIF(BI73:BR73,9),[1]ETAPP!A$1:A$32,0))&amp;INDEX([1]ETAPP!B$1:B$32,MATCH(COUNTIF(BI73:BR73,10),[1]ETAPP!A$1:A$32,0))&amp;INDEX([1]ETAPP!B$1:B$32,MATCH(COUNTIF(BI73:BR73,11),[1]ETAPP!A$1:A$32,0))&amp;INDEX([1]ETAPP!B$1:B$32,MATCH(COUNTIF(BI73:BR73,12),[1]ETAPP!A$1:A$32,0))&amp;INDEX([1]ETAPP!B$1:B$32,MATCH(COUNTIF(BI73:BR73,13),[1]ETAPP!A$1:A$32,0))&amp;INDEX([1]ETAPP!B$1:B$32,MATCH(COUNTIF(BI73:BR73,14),[1]ETAPP!A$1:A$32,0))&amp;INDEX([1]ETAPP!B$1:B$32,MATCH(COUNTIF(BI73:BR73,15),[1]ETAPP!A$1:A$32,0))&amp;INDEX([1]ETAPP!B$1:B$32,MATCH(COUNTIF(BI73:BR73,16),[1]ETAPP!A$1:A$32,0))&amp;INDEX([1]ETAPP!B$1:B$32,MATCH(COUNTIF(BI73:BR73,17),[1]ETAPP!A$1:A$32,0))&amp;INDEX([1]ETAPP!B$1:B$32,MATCH(COUNTIF(BI73:BR73,18),[1]ETAPP!A$1:A$32,0))&amp;INDEX([1]ETAPP!B$1:B$32,MATCH(COUNTIF(BI73:BR73,19),[1]ETAPP!A$1:A$32,0))&amp;INDEX([1]ETAPP!B$1:B$32,MATCH(COUNTIF(BI73:BR73,20),[1]ETAPP!A$1:A$32,0))&amp;INDEX([1]ETAPP!B$1:B$32,MATCH(COUNTIF(BI73:BR73,21),[1]ETAPP!A$1:A$32,0))</f>
        <v>000000000000000000000</v>
      </c>
      <c r="T73" s="561" t="str">
        <f t="shared" si="100"/>
        <v>000,0-000000000000000000000</v>
      </c>
      <c r="U73" s="561">
        <f t="shared" si="101"/>
        <v>114</v>
      </c>
      <c r="V73" s="561">
        <f t="shared" si="102"/>
        <v>97</v>
      </c>
      <c r="W73" s="561" t="str">
        <f t="shared" si="103"/>
        <v>000,0-000000000000000000000-097</v>
      </c>
      <c r="X73" s="561">
        <f t="shared" si="104"/>
        <v>67</v>
      </c>
      <c r="Y73" s="562">
        <f t="shared" si="105"/>
        <v>48</v>
      </c>
      <c r="Z73" s="563" t="str">
        <f>IFERROR(INDEX('V1'!C$300:C$400,MATCH("*"&amp;L73&amp;"*",'V1'!B$300:B$400,0)),"  ")</f>
        <v xml:space="preserve">  </v>
      </c>
      <c r="AA73" s="563" t="str">
        <f>IFERROR(INDEX('V2'!C$300:C$400,MATCH("*"&amp;L73&amp;"*",'V2'!B$300:B$400,0)),"  ")</f>
        <v xml:space="preserve">  </v>
      </c>
      <c r="AB73" s="563" t="str">
        <f>IFERROR(INDEX('V3'!C$300:C$400,MATCH("*"&amp;L73&amp;"*",'V3'!B$300:B$400,0)),"  ")</f>
        <v xml:space="preserve">  </v>
      </c>
      <c r="AC73" s="563" t="str">
        <f>IFERROR(INDEX('V4'!C$300:C$400,MATCH("*"&amp;L73&amp;"*",'V4'!B$300:B$400,0)),"  ")</f>
        <v xml:space="preserve">  </v>
      </c>
      <c r="AD73" s="563" t="str">
        <f>IFERROR(INDEX('V5'!C$300:C$400,MATCH("*"&amp;L73&amp;"*",'V5'!B$300:B$400,0)),"  ")</f>
        <v xml:space="preserve">  </v>
      </c>
      <c r="AE73" s="563" t="str">
        <f>IFERROR(INDEX('V6'!C$300:C$400,MATCH("*"&amp;L73&amp;"*",'V6'!B$300:B$400,0)),"  ")</f>
        <v xml:space="preserve">  </v>
      </c>
      <c r="AF73" s="563" t="str">
        <f>IFERROR(INDEX('V7'!C$300:C$400,MATCH("*"&amp;L73&amp;"*",'V7'!B$300:B$400,0)),"  ")</f>
        <v xml:space="preserve">  </v>
      </c>
      <c r="AG73" s="563" t="str">
        <f>IFERROR(INDEX('V8'!C$300:C$400,MATCH("*"&amp;L73&amp;"*",'V8'!B$300:B$400,0)),"  ")</f>
        <v xml:space="preserve">  </v>
      </c>
      <c r="AH73" s="563" t="str">
        <f>IFERROR(INDEX('V9'!C$300:C$400,MATCH("*"&amp;L73&amp;"*",'V9'!B$300:B$400,0)),"  ")</f>
        <v xml:space="preserve">  </v>
      </c>
      <c r="AI73" s="563" t="str">
        <f>IFERROR(INDEX('V10'!C$300:C$400,MATCH("*"&amp;L73&amp;"*",'V10'!B$300:B$400,0)),"  ")</f>
        <v xml:space="preserve">  </v>
      </c>
      <c r="AJ73" s="564" t="str">
        <f t="shared" si="106"/>
        <v/>
      </c>
      <c r="AK73" s="565">
        <f t="shared" si="107"/>
        <v>0</v>
      </c>
      <c r="AL73" s="566" t="str">
        <f t="shared" si="108"/>
        <v/>
      </c>
      <c r="AM73" s="567" t="str">
        <f>IFERROR(INDEX(#REF!,MATCH("*"&amp;L73&amp;"*",#REF!,0)),"  ")</f>
        <v xml:space="preserve">  </v>
      </c>
      <c r="AN73" s="568">
        <f t="shared" si="109"/>
        <v>0</v>
      </c>
      <c r="AO73" s="469">
        <f t="shared" si="110"/>
        <v>0</v>
      </c>
      <c r="AP73" s="469">
        <f t="shared" si="111"/>
        <v>0</v>
      </c>
      <c r="AQ73" s="569"/>
      <c r="AR73" s="569"/>
      <c r="AS73" s="569"/>
      <c r="AT73" s="570">
        <f t="shared" si="112"/>
        <v>1E-4</v>
      </c>
      <c r="AU73" s="571">
        <f t="shared" si="113"/>
        <v>1E-4</v>
      </c>
      <c r="AV73" s="571">
        <f t="shared" si="114"/>
        <v>2.0000000000000001E-4</v>
      </c>
      <c r="AW73" s="571">
        <f t="shared" si="115"/>
        <v>2.9999999999999997E-4</v>
      </c>
      <c r="AX73" s="571">
        <f t="shared" si="116"/>
        <v>4.0000000000000002E-4</v>
      </c>
      <c r="AY73" s="571">
        <f t="shared" si="117"/>
        <v>5.0000000000000001E-4</v>
      </c>
      <c r="AZ73" s="571">
        <f t="shared" si="118"/>
        <v>5.9999999999999995E-4</v>
      </c>
      <c r="BA73" s="571">
        <f t="shared" si="119"/>
        <v>6.9999999999999999E-4</v>
      </c>
      <c r="BB73" s="571">
        <f t="shared" si="120"/>
        <v>8.0000000000000004E-4</v>
      </c>
      <c r="BC73" s="571">
        <f t="shared" si="121"/>
        <v>8.9999999999999998E-4</v>
      </c>
      <c r="BD73" s="571">
        <f t="shared" si="122"/>
        <v>1E-3</v>
      </c>
      <c r="BE73" s="569"/>
      <c r="BF73" s="569"/>
      <c r="BG73" s="569"/>
      <c r="BH73" s="569"/>
      <c r="BI73" s="377" t="e">
        <f t="shared" si="123"/>
        <v>#VALUE!</v>
      </c>
      <c r="BJ73" s="377" t="e">
        <f t="shared" si="124"/>
        <v>#VALUE!</v>
      </c>
      <c r="BK73" s="377" t="e">
        <f t="shared" si="125"/>
        <v>#VALUE!</v>
      </c>
      <c r="BL73" s="377" t="e">
        <f t="shared" si="126"/>
        <v>#VALUE!</v>
      </c>
      <c r="BM73" s="377" t="e">
        <f t="shared" si="127"/>
        <v>#VALUE!</v>
      </c>
      <c r="BN73" s="377" t="e">
        <f t="shared" si="128"/>
        <v>#VALUE!</v>
      </c>
      <c r="BO73" s="377" t="e">
        <f t="shared" si="129"/>
        <v>#VALUE!</v>
      </c>
      <c r="BP73" s="377" t="e">
        <f t="shared" si="130"/>
        <v>#VALUE!</v>
      </c>
      <c r="BQ73" s="377" t="e">
        <f t="shared" si="131"/>
        <v>#VALUE!</v>
      </c>
      <c r="BR73" s="377" t="e">
        <f t="shared" si="132"/>
        <v>#VALUE!</v>
      </c>
    </row>
    <row r="74" spans="1:70" ht="12.75" hidden="1" customHeight="1" x14ac:dyDescent="0.2">
      <c r="A74" s="484" t="str">
        <f t="shared" si="89"/>
        <v/>
      </c>
      <c r="B74" s="485">
        <f t="shared" si="90"/>
        <v>-886</v>
      </c>
      <c r="C74" s="486" t="str">
        <f t="shared" si="91"/>
        <v/>
      </c>
      <c r="D74" s="487">
        <f t="shared" si="92"/>
        <v>-886</v>
      </c>
      <c r="E74" s="488" t="str">
        <f t="shared" si="93"/>
        <v/>
      </c>
      <c r="F74" s="489">
        <f t="shared" si="94"/>
        <v>114</v>
      </c>
      <c r="G74" s="490" t="str">
        <f t="shared" si="95"/>
        <v/>
      </c>
      <c r="H74" s="489">
        <f t="shared" si="96"/>
        <v>-886</v>
      </c>
      <c r="I74" s="491" t="str">
        <f t="shared" si="97"/>
        <v/>
      </c>
      <c r="J74" s="554">
        <f t="shared" si="98"/>
        <v>114</v>
      </c>
      <c r="K74" s="526" t="str">
        <f t="shared" si="99"/>
        <v/>
      </c>
      <c r="L74" s="555" t="s">
        <v>281</v>
      </c>
      <c r="M74" s="556"/>
      <c r="N74" s="557" t="s">
        <v>168</v>
      </c>
      <c r="O74" s="579" t="s">
        <v>190</v>
      </c>
      <c r="P74" s="559"/>
      <c r="Q74" s="560"/>
      <c r="R74" s="539">
        <f>(IF(COUNT(Z74,AA74,AB74,AC74,AD74,AE74,AF74,AG74,AH74,AI74)&lt;10,SUM(Z74,AA74,AB74,AC74,AD74,AE74,AF74,AG74,AH74,AI74),SUM(LARGE((Z74,AA74,AB74,AC74,AD74,AE74,AF74,AG74,AH74,AI74),{1;2;3;4;5;6;7;8;9}))))</f>
        <v>0</v>
      </c>
      <c r="S74" s="561" t="str">
        <f>INDEX([1]ETAPP!B$1:B$32,MATCH(COUNTIF(BI74:BR74,1),[1]ETAPP!A$1:A$32,0))&amp;INDEX([1]ETAPP!B$1:B$32,MATCH(COUNTIF(BI74:BR74,2),[1]ETAPP!A$1:A$32,0))&amp;INDEX([1]ETAPP!B$1:B$32,MATCH(COUNTIF(BI74:BR74,3),[1]ETAPP!A$1:A$32,0))&amp;INDEX([1]ETAPP!B$1:B$32,MATCH(COUNTIF(BI74:BR74,4),[1]ETAPP!A$1:A$32,0))&amp;INDEX([1]ETAPP!B$1:B$32,MATCH(COUNTIF(BI74:BR74,5),[1]ETAPP!A$1:A$32,0))&amp;INDEX([1]ETAPP!B$1:B$32,MATCH(COUNTIF(BI74:BR74,6),[1]ETAPP!A$1:A$32,0))&amp;INDEX([1]ETAPP!B$1:B$32,MATCH(COUNTIF(BI74:BR74,7),[1]ETAPP!A$1:A$32,0))&amp;INDEX([1]ETAPP!B$1:B$32,MATCH(COUNTIF(BI74:BR74,8),[1]ETAPP!A$1:A$32,0))&amp;INDEX([1]ETAPP!B$1:B$32,MATCH(COUNTIF(BI74:BR74,9),[1]ETAPP!A$1:A$32,0))&amp;INDEX([1]ETAPP!B$1:B$32,MATCH(COUNTIF(BI74:BR74,10),[1]ETAPP!A$1:A$32,0))&amp;INDEX([1]ETAPP!B$1:B$32,MATCH(COUNTIF(BI74:BR74,11),[1]ETAPP!A$1:A$32,0))&amp;INDEX([1]ETAPP!B$1:B$32,MATCH(COUNTIF(BI74:BR74,12),[1]ETAPP!A$1:A$32,0))&amp;INDEX([1]ETAPP!B$1:B$32,MATCH(COUNTIF(BI74:BR74,13),[1]ETAPP!A$1:A$32,0))&amp;INDEX([1]ETAPP!B$1:B$32,MATCH(COUNTIF(BI74:BR74,14),[1]ETAPP!A$1:A$32,0))&amp;INDEX([1]ETAPP!B$1:B$32,MATCH(COUNTIF(BI74:BR74,15),[1]ETAPP!A$1:A$32,0))&amp;INDEX([1]ETAPP!B$1:B$32,MATCH(COUNTIF(BI74:BR74,16),[1]ETAPP!A$1:A$32,0))&amp;INDEX([1]ETAPP!B$1:B$32,MATCH(COUNTIF(BI74:BR74,17),[1]ETAPP!A$1:A$32,0))&amp;INDEX([1]ETAPP!B$1:B$32,MATCH(COUNTIF(BI74:BR74,18),[1]ETAPP!A$1:A$32,0))&amp;INDEX([1]ETAPP!B$1:B$32,MATCH(COUNTIF(BI74:BR74,19),[1]ETAPP!A$1:A$32,0))&amp;INDEX([1]ETAPP!B$1:B$32,MATCH(COUNTIF(BI74:BR74,20),[1]ETAPP!A$1:A$32,0))&amp;INDEX([1]ETAPP!B$1:B$32,MATCH(COUNTIF(BI74:BR74,21),[1]ETAPP!A$1:A$32,0))</f>
        <v>000000000000000000000</v>
      </c>
      <c r="T74" s="561" t="str">
        <f t="shared" si="100"/>
        <v>000,0-000000000000000000000</v>
      </c>
      <c r="U74" s="561">
        <f t="shared" si="101"/>
        <v>114</v>
      </c>
      <c r="V74" s="561">
        <f t="shared" si="102"/>
        <v>96</v>
      </c>
      <c r="W74" s="561" t="str">
        <f t="shared" si="103"/>
        <v>000,0-000000000000000000000-096</v>
      </c>
      <c r="X74" s="561">
        <f t="shared" si="104"/>
        <v>68</v>
      </c>
      <c r="Y74" s="562">
        <f t="shared" si="105"/>
        <v>47</v>
      </c>
      <c r="Z74" s="563" t="str">
        <f>IFERROR(INDEX('V1'!C$300:C$400,MATCH("*"&amp;L74&amp;"*",'V1'!B$300:B$400,0)),"  ")</f>
        <v xml:space="preserve">  </v>
      </c>
      <c r="AA74" s="563" t="str">
        <f>IFERROR(INDEX('V2'!C$300:C$400,MATCH("*"&amp;L74&amp;"*",'V2'!B$300:B$400,0)),"  ")</f>
        <v xml:space="preserve">  </v>
      </c>
      <c r="AB74" s="563" t="str">
        <f>IFERROR(INDEX('V3'!C$300:C$400,MATCH("*"&amp;L74&amp;"*",'V3'!B$300:B$400,0)),"  ")</f>
        <v xml:space="preserve">  </v>
      </c>
      <c r="AC74" s="563" t="str">
        <f>IFERROR(INDEX('V4'!C$300:C$400,MATCH("*"&amp;L74&amp;"*",'V4'!B$300:B$400,0)),"  ")</f>
        <v xml:space="preserve">  </v>
      </c>
      <c r="AD74" s="563" t="str">
        <f>IFERROR(INDEX('V5'!C$300:C$400,MATCH("*"&amp;L74&amp;"*",'V5'!B$300:B$400,0)),"  ")</f>
        <v xml:space="preserve">  </v>
      </c>
      <c r="AE74" s="563" t="str">
        <f>IFERROR(INDEX('V6'!C$300:C$400,MATCH("*"&amp;L74&amp;"*",'V6'!B$300:B$400,0)),"  ")</f>
        <v xml:space="preserve">  </v>
      </c>
      <c r="AF74" s="563" t="str">
        <f>IFERROR(INDEX('V7'!C$300:C$400,MATCH("*"&amp;L74&amp;"*",'V7'!B$300:B$400,0)),"  ")</f>
        <v xml:space="preserve">  </v>
      </c>
      <c r="AG74" s="563" t="str">
        <f>IFERROR(INDEX('V8'!C$300:C$400,MATCH("*"&amp;L74&amp;"*",'V8'!B$300:B$400,0)),"  ")</f>
        <v xml:space="preserve">  </v>
      </c>
      <c r="AH74" s="563" t="str">
        <f>IFERROR(INDEX('V9'!C$300:C$400,MATCH("*"&amp;L74&amp;"*",'V9'!B$300:B$400,0)),"  ")</f>
        <v xml:space="preserve">  </v>
      </c>
      <c r="AI74" s="563" t="str">
        <f>IFERROR(INDEX('V10'!C$300:C$400,MATCH("*"&amp;L74&amp;"*",'V10'!B$300:B$400,0)),"  ")</f>
        <v xml:space="preserve">  </v>
      </c>
      <c r="AJ74" s="564" t="str">
        <f t="shared" si="106"/>
        <v/>
      </c>
      <c r="AK74" s="565">
        <f t="shared" si="107"/>
        <v>0</v>
      </c>
      <c r="AL74" s="566" t="str">
        <f t="shared" si="108"/>
        <v/>
      </c>
      <c r="AM74" s="567" t="str">
        <f>IFERROR(INDEX(#REF!,MATCH("*"&amp;L74&amp;"*",#REF!,0)),"  ")</f>
        <v xml:space="preserve">  </v>
      </c>
      <c r="AN74" s="568">
        <f t="shared" si="109"/>
        <v>0</v>
      </c>
      <c r="AO74" s="469">
        <f t="shared" si="110"/>
        <v>0</v>
      </c>
      <c r="AP74" s="469">
        <f t="shared" si="111"/>
        <v>0</v>
      </c>
      <c r="AQ74" s="569"/>
      <c r="AR74" s="569"/>
      <c r="AS74" s="569"/>
      <c r="AT74" s="570">
        <f t="shared" si="112"/>
        <v>1E-4</v>
      </c>
      <c r="AU74" s="571">
        <f t="shared" si="113"/>
        <v>1E-4</v>
      </c>
      <c r="AV74" s="571">
        <f t="shared" si="114"/>
        <v>2.0000000000000001E-4</v>
      </c>
      <c r="AW74" s="571">
        <f t="shared" si="115"/>
        <v>2.9999999999999997E-4</v>
      </c>
      <c r="AX74" s="571">
        <f t="shared" si="116"/>
        <v>4.0000000000000002E-4</v>
      </c>
      <c r="AY74" s="571">
        <f t="shared" si="117"/>
        <v>5.0000000000000001E-4</v>
      </c>
      <c r="AZ74" s="571">
        <f t="shared" si="118"/>
        <v>5.9999999999999995E-4</v>
      </c>
      <c r="BA74" s="571">
        <f t="shared" si="119"/>
        <v>6.9999999999999999E-4</v>
      </c>
      <c r="BB74" s="571">
        <f t="shared" si="120"/>
        <v>8.0000000000000004E-4</v>
      </c>
      <c r="BC74" s="571">
        <f t="shared" si="121"/>
        <v>8.9999999999999998E-4</v>
      </c>
      <c r="BD74" s="571">
        <f t="shared" si="122"/>
        <v>1E-3</v>
      </c>
      <c r="BE74" s="569"/>
      <c r="BF74" s="569"/>
      <c r="BG74" s="569"/>
      <c r="BH74" s="569"/>
      <c r="BI74" s="377" t="e">
        <f t="shared" si="123"/>
        <v>#VALUE!</v>
      </c>
      <c r="BJ74" s="377" t="e">
        <f t="shared" si="124"/>
        <v>#VALUE!</v>
      </c>
      <c r="BK74" s="377" t="e">
        <f t="shared" si="125"/>
        <v>#VALUE!</v>
      </c>
      <c r="BL74" s="377" t="e">
        <f t="shared" si="126"/>
        <v>#VALUE!</v>
      </c>
      <c r="BM74" s="377" t="e">
        <f t="shared" si="127"/>
        <v>#VALUE!</v>
      </c>
      <c r="BN74" s="377" t="e">
        <f t="shared" si="128"/>
        <v>#VALUE!</v>
      </c>
      <c r="BO74" s="377" t="e">
        <f t="shared" si="129"/>
        <v>#VALUE!</v>
      </c>
      <c r="BP74" s="377" t="e">
        <f t="shared" si="130"/>
        <v>#VALUE!</v>
      </c>
      <c r="BQ74" s="377" t="e">
        <f t="shared" si="131"/>
        <v>#VALUE!</v>
      </c>
      <c r="BR74" s="377" t="e">
        <f t="shared" si="132"/>
        <v>#VALUE!</v>
      </c>
    </row>
    <row r="75" spans="1:70" ht="12.75" hidden="1" customHeight="1" x14ac:dyDescent="0.2">
      <c r="A75" s="484" t="str">
        <f t="shared" si="89"/>
        <v/>
      </c>
      <c r="B75" s="485">
        <f t="shared" si="90"/>
        <v>-886</v>
      </c>
      <c r="C75" s="486" t="str">
        <f t="shared" si="91"/>
        <v/>
      </c>
      <c r="D75" s="487">
        <f t="shared" si="92"/>
        <v>-886</v>
      </c>
      <c r="E75" s="488" t="str">
        <f t="shared" si="93"/>
        <v/>
      </c>
      <c r="F75" s="489">
        <f t="shared" si="94"/>
        <v>114</v>
      </c>
      <c r="G75" s="490" t="str">
        <f t="shared" si="95"/>
        <v/>
      </c>
      <c r="H75" s="489">
        <f t="shared" si="96"/>
        <v>-886</v>
      </c>
      <c r="I75" s="491" t="str">
        <f t="shared" si="97"/>
        <v/>
      </c>
      <c r="J75" s="554">
        <f t="shared" si="98"/>
        <v>-886</v>
      </c>
      <c r="K75" s="526" t="str">
        <f t="shared" si="99"/>
        <v/>
      </c>
      <c r="L75" s="555" t="s">
        <v>215</v>
      </c>
      <c r="M75" s="556"/>
      <c r="N75" s="557" t="s">
        <v>168</v>
      </c>
      <c r="O75" s="579"/>
      <c r="P75" s="559"/>
      <c r="Q75" s="560"/>
      <c r="R75" s="539">
        <f>(IF(COUNT(Z75,AA75,AB75,AC75,AD75,AE75,AF75,AG75,AH75,AI75)&lt;10,SUM(Z75,AA75,AB75,AC75,AD75,AE75,AF75,AG75,AH75,AI75),SUM(LARGE((Z75,AA75,AB75,AC75,AD75,AE75,AF75,AG75,AH75,AI75),{1;2;3;4;5;6;7;8;9}))))</f>
        <v>0</v>
      </c>
      <c r="S75" s="561" t="str">
        <f>INDEX([1]ETAPP!B$1:B$32,MATCH(COUNTIF(BI75:BR75,1),[1]ETAPP!A$1:A$32,0))&amp;INDEX([1]ETAPP!B$1:B$32,MATCH(COUNTIF(BI75:BR75,2),[1]ETAPP!A$1:A$32,0))&amp;INDEX([1]ETAPP!B$1:B$32,MATCH(COUNTIF(BI75:BR75,3),[1]ETAPP!A$1:A$32,0))&amp;INDEX([1]ETAPP!B$1:B$32,MATCH(COUNTIF(BI75:BR75,4),[1]ETAPP!A$1:A$32,0))&amp;INDEX([1]ETAPP!B$1:B$32,MATCH(COUNTIF(BI75:BR75,5),[1]ETAPP!A$1:A$32,0))&amp;INDEX([1]ETAPP!B$1:B$32,MATCH(COUNTIF(BI75:BR75,6),[1]ETAPP!A$1:A$32,0))&amp;INDEX([1]ETAPP!B$1:B$32,MATCH(COUNTIF(BI75:BR75,7),[1]ETAPP!A$1:A$32,0))&amp;INDEX([1]ETAPP!B$1:B$32,MATCH(COUNTIF(BI75:BR75,8),[1]ETAPP!A$1:A$32,0))&amp;INDEX([1]ETAPP!B$1:B$32,MATCH(COUNTIF(BI75:BR75,9),[1]ETAPP!A$1:A$32,0))&amp;INDEX([1]ETAPP!B$1:B$32,MATCH(COUNTIF(BI75:BR75,10),[1]ETAPP!A$1:A$32,0))&amp;INDEX([1]ETAPP!B$1:B$32,MATCH(COUNTIF(BI75:BR75,11),[1]ETAPP!A$1:A$32,0))&amp;INDEX([1]ETAPP!B$1:B$32,MATCH(COUNTIF(BI75:BR75,12),[1]ETAPP!A$1:A$32,0))&amp;INDEX([1]ETAPP!B$1:B$32,MATCH(COUNTIF(BI75:BR75,13),[1]ETAPP!A$1:A$32,0))&amp;INDEX([1]ETAPP!B$1:B$32,MATCH(COUNTIF(BI75:BR75,14),[1]ETAPP!A$1:A$32,0))&amp;INDEX([1]ETAPP!B$1:B$32,MATCH(COUNTIF(BI75:BR75,15),[1]ETAPP!A$1:A$32,0))&amp;INDEX([1]ETAPP!B$1:B$32,MATCH(COUNTIF(BI75:BR75,16),[1]ETAPP!A$1:A$32,0))&amp;INDEX([1]ETAPP!B$1:B$32,MATCH(COUNTIF(BI75:BR75,17),[1]ETAPP!A$1:A$32,0))&amp;INDEX([1]ETAPP!B$1:B$32,MATCH(COUNTIF(BI75:BR75,18),[1]ETAPP!A$1:A$32,0))&amp;INDEX([1]ETAPP!B$1:B$32,MATCH(COUNTIF(BI75:BR75,19),[1]ETAPP!A$1:A$32,0))&amp;INDEX([1]ETAPP!B$1:B$32,MATCH(COUNTIF(BI75:BR75,20),[1]ETAPP!A$1:A$32,0))&amp;INDEX([1]ETAPP!B$1:B$32,MATCH(COUNTIF(BI75:BR75,21),[1]ETAPP!A$1:A$32,0))</f>
        <v>000000000000000000000</v>
      </c>
      <c r="T75" s="561" t="str">
        <f t="shared" si="100"/>
        <v>000,0-000000000000000000000</v>
      </c>
      <c r="U75" s="561">
        <f t="shared" si="101"/>
        <v>114</v>
      </c>
      <c r="V75" s="561">
        <f t="shared" si="102"/>
        <v>95</v>
      </c>
      <c r="W75" s="561" t="str">
        <f t="shared" si="103"/>
        <v>000,0-000000000000000000000-095</v>
      </c>
      <c r="X75" s="561">
        <f t="shared" si="104"/>
        <v>69</v>
      </c>
      <c r="Y75" s="562">
        <f t="shared" si="105"/>
        <v>46</v>
      </c>
      <c r="Z75" s="563" t="str">
        <f>IFERROR(INDEX('V1'!C$300:C$400,MATCH("*"&amp;L75&amp;"*",'V1'!B$300:B$400,0)),"  ")</f>
        <v xml:space="preserve">  </v>
      </c>
      <c r="AA75" s="563" t="str">
        <f>IFERROR(INDEX('V2'!C$300:C$400,MATCH("*"&amp;L75&amp;"*",'V2'!B$300:B$400,0)),"  ")</f>
        <v xml:space="preserve">  </v>
      </c>
      <c r="AB75" s="563" t="str">
        <f>IFERROR(INDEX('V3'!C$300:C$400,MATCH("*"&amp;L75&amp;"*",'V3'!B$300:B$400,0)),"  ")</f>
        <v xml:space="preserve">  </v>
      </c>
      <c r="AC75" s="563" t="str">
        <f>IFERROR(INDEX('V4'!C$300:C$400,MATCH("*"&amp;L75&amp;"*",'V4'!B$300:B$400,0)),"  ")</f>
        <v xml:space="preserve">  </v>
      </c>
      <c r="AD75" s="563" t="str">
        <f>IFERROR(INDEX('V5'!C$300:C$400,MATCH("*"&amp;L75&amp;"*",'V5'!B$300:B$400,0)),"  ")</f>
        <v xml:space="preserve">  </v>
      </c>
      <c r="AE75" s="563" t="str">
        <f>IFERROR(INDEX('V6'!C$300:C$400,MATCH("*"&amp;L75&amp;"*",'V6'!B$300:B$400,0)),"  ")</f>
        <v xml:space="preserve">  </v>
      </c>
      <c r="AF75" s="563" t="str">
        <f>IFERROR(INDEX('V7'!C$300:C$400,MATCH("*"&amp;L75&amp;"*",'V7'!B$300:B$400,0)),"  ")</f>
        <v xml:space="preserve">  </v>
      </c>
      <c r="AG75" s="563" t="str">
        <f>IFERROR(INDEX('V8'!C$300:C$400,MATCH("*"&amp;L75&amp;"*",'V8'!B$300:B$400,0)),"  ")</f>
        <v xml:space="preserve">  </v>
      </c>
      <c r="AH75" s="563" t="str">
        <f>IFERROR(INDEX('V9'!C$300:C$400,MATCH("*"&amp;L75&amp;"*",'V9'!B$300:B$400,0)),"  ")</f>
        <v xml:space="preserve">  </v>
      </c>
      <c r="AI75" s="563" t="str">
        <f>IFERROR(INDEX('V10'!C$300:C$400,MATCH("*"&amp;L75&amp;"*",'V10'!B$300:B$400,0)),"  ")</f>
        <v xml:space="preserve">  </v>
      </c>
      <c r="AJ75" s="564" t="str">
        <f t="shared" si="106"/>
        <v/>
      </c>
      <c r="AK75" s="565">
        <f t="shared" si="107"/>
        <v>0</v>
      </c>
      <c r="AL75" s="566" t="str">
        <f t="shared" si="108"/>
        <v/>
      </c>
      <c r="AM75" s="567" t="str">
        <f>IFERROR(INDEX(#REF!,MATCH("*"&amp;L75&amp;"*",#REF!,0)),"  ")</f>
        <v xml:space="preserve">  </v>
      </c>
      <c r="AN75" s="568">
        <f t="shared" si="109"/>
        <v>0</v>
      </c>
      <c r="AO75" s="469">
        <f t="shared" si="110"/>
        <v>0</v>
      </c>
      <c r="AP75" s="469">
        <f t="shared" si="111"/>
        <v>0</v>
      </c>
      <c r="AQ75" s="569"/>
      <c r="AR75" s="569"/>
      <c r="AS75" s="569"/>
      <c r="AT75" s="570">
        <f t="shared" si="112"/>
        <v>1E-4</v>
      </c>
      <c r="AU75" s="571">
        <f t="shared" si="113"/>
        <v>1E-4</v>
      </c>
      <c r="AV75" s="571">
        <f t="shared" si="114"/>
        <v>2.0000000000000001E-4</v>
      </c>
      <c r="AW75" s="571">
        <f t="shared" si="115"/>
        <v>2.9999999999999997E-4</v>
      </c>
      <c r="AX75" s="571">
        <f t="shared" si="116"/>
        <v>4.0000000000000002E-4</v>
      </c>
      <c r="AY75" s="571">
        <f t="shared" si="117"/>
        <v>5.0000000000000001E-4</v>
      </c>
      <c r="AZ75" s="571">
        <f t="shared" si="118"/>
        <v>5.9999999999999995E-4</v>
      </c>
      <c r="BA75" s="571">
        <f t="shared" si="119"/>
        <v>6.9999999999999999E-4</v>
      </c>
      <c r="BB75" s="571">
        <f t="shared" si="120"/>
        <v>8.0000000000000004E-4</v>
      </c>
      <c r="BC75" s="571">
        <f t="shared" si="121"/>
        <v>8.9999999999999998E-4</v>
      </c>
      <c r="BD75" s="571">
        <f t="shared" si="122"/>
        <v>1E-3</v>
      </c>
      <c r="BE75" s="569"/>
      <c r="BF75" s="569"/>
      <c r="BG75" s="569"/>
      <c r="BH75" s="569"/>
      <c r="BI75" s="377" t="e">
        <f t="shared" si="123"/>
        <v>#VALUE!</v>
      </c>
      <c r="BJ75" s="377" t="e">
        <f t="shared" si="124"/>
        <v>#VALUE!</v>
      </c>
      <c r="BK75" s="377" t="e">
        <f t="shared" si="125"/>
        <v>#VALUE!</v>
      </c>
      <c r="BL75" s="377" t="e">
        <f t="shared" si="126"/>
        <v>#VALUE!</v>
      </c>
      <c r="BM75" s="377" t="e">
        <f t="shared" si="127"/>
        <v>#VALUE!</v>
      </c>
      <c r="BN75" s="377" t="e">
        <f t="shared" si="128"/>
        <v>#VALUE!</v>
      </c>
      <c r="BO75" s="377" t="e">
        <f t="shared" si="129"/>
        <v>#VALUE!</v>
      </c>
      <c r="BP75" s="377" t="e">
        <f t="shared" si="130"/>
        <v>#VALUE!</v>
      </c>
      <c r="BQ75" s="377" t="e">
        <f t="shared" si="131"/>
        <v>#VALUE!</v>
      </c>
      <c r="BR75" s="377" t="e">
        <f t="shared" si="132"/>
        <v>#VALUE!</v>
      </c>
    </row>
    <row r="76" spans="1:70" ht="12.75" hidden="1" customHeight="1" x14ac:dyDescent="0.2">
      <c r="A76" s="484" t="str">
        <f t="shared" si="89"/>
        <v/>
      </c>
      <c r="B76" s="485">
        <f t="shared" si="90"/>
        <v>-886</v>
      </c>
      <c r="C76" s="486" t="str">
        <f t="shared" si="91"/>
        <v/>
      </c>
      <c r="D76" s="487">
        <f t="shared" si="92"/>
        <v>-886</v>
      </c>
      <c r="E76" s="488" t="str">
        <f t="shared" si="93"/>
        <v/>
      </c>
      <c r="F76" s="489">
        <f t="shared" si="94"/>
        <v>-886</v>
      </c>
      <c r="G76" s="490" t="str">
        <f t="shared" si="95"/>
        <v/>
      </c>
      <c r="H76" s="489">
        <f t="shared" si="96"/>
        <v>-886</v>
      </c>
      <c r="I76" s="491" t="str">
        <f t="shared" si="97"/>
        <v/>
      </c>
      <c r="J76" s="554">
        <f t="shared" si="98"/>
        <v>-886</v>
      </c>
      <c r="K76" s="526" t="str">
        <f t="shared" si="99"/>
        <v/>
      </c>
      <c r="L76" s="555" t="s">
        <v>282</v>
      </c>
      <c r="M76" s="556"/>
      <c r="N76" s="557"/>
      <c r="O76" s="579"/>
      <c r="P76" s="559"/>
      <c r="Q76" s="560"/>
      <c r="R76" s="539">
        <f>(IF(COUNT(Z76,AA76,AB76,AC76,AD76,AE76,AF76,AG76,AH76,AI76)&lt;10,SUM(Z76,AA76,AB76,AC76,AD76,AE76,AF76,AG76,AH76,AI76),SUM(LARGE((Z76,AA76,AB76,AC76,AD76,AE76,AF76,AG76,AH76,AI76),{1;2;3;4;5;6;7;8;9}))))</f>
        <v>0</v>
      </c>
      <c r="S76" s="561" t="str">
        <f>INDEX([1]ETAPP!B$1:B$32,MATCH(COUNTIF(BI76:BR76,1),[1]ETAPP!A$1:A$32,0))&amp;INDEX([1]ETAPP!B$1:B$32,MATCH(COUNTIF(BI76:BR76,2),[1]ETAPP!A$1:A$32,0))&amp;INDEX([1]ETAPP!B$1:B$32,MATCH(COUNTIF(BI76:BR76,3),[1]ETAPP!A$1:A$32,0))&amp;INDEX([1]ETAPP!B$1:B$32,MATCH(COUNTIF(BI76:BR76,4),[1]ETAPP!A$1:A$32,0))&amp;INDEX([1]ETAPP!B$1:B$32,MATCH(COUNTIF(BI76:BR76,5),[1]ETAPP!A$1:A$32,0))&amp;INDEX([1]ETAPP!B$1:B$32,MATCH(COUNTIF(BI76:BR76,6),[1]ETAPP!A$1:A$32,0))&amp;INDEX([1]ETAPP!B$1:B$32,MATCH(COUNTIF(BI76:BR76,7),[1]ETAPP!A$1:A$32,0))&amp;INDEX([1]ETAPP!B$1:B$32,MATCH(COUNTIF(BI76:BR76,8),[1]ETAPP!A$1:A$32,0))&amp;INDEX([1]ETAPP!B$1:B$32,MATCH(COUNTIF(BI76:BR76,9),[1]ETAPP!A$1:A$32,0))&amp;INDEX([1]ETAPP!B$1:B$32,MATCH(COUNTIF(BI76:BR76,10),[1]ETAPP!A$1:A$32,0))&amp;INDEX([1]ETAPP!B$1:B$32,MATCH(COUNTIF(BI76:BR76,11),[1]ETAPP!A$1:A$32,0))&amp;INDEX([1]ETAPP!B$1:B$32,MATCH(COUNTIF(BI76:BR76,12),[1]ETAPP!A$1:A$32,0))&amp;INDEX([1]ETAPP!B$1:B$32,MATCH(COUNTIF(BI76:BR76,13),[1]ETAPP!A$1:A$32,0))&amp;INDEX([1]ETAPP!B$1:B$32,MATCH(COUNTIF(BI76:BR76,14),[1]ETAPP!A$1:A$32,0))&amp;INDEX([1]ETAPP!B$1:B$32,MATCH(COUNTIF(BI76:BR76,15),[1]ETAPP!A$1:A$32,0))&amp;INDEX([1]ETAPP!B$1:B$32,MATCH(COUNTIF(BI76:BR76,16),[1]ETAPP!A$1:A$32,0))&amp;INDEX([1]ETAPP!B$1:B$32,MATCH(COUNTIF(BI76:BR76,17),[1]ETAPP!A$1:A$32,0))&amp;INDEX([1]ETAPP!B$1:B$32,MATCH(COUNTIF(BI76:BR76,18),[1]ETAPP!A$1:A$32,0))&amp;INDEX([1]ETAPP!B$1:B$32,MATCH(COUNTIF(BI76:BR76,19),[1]ETAPP!A$1:A$32,0))&amp;INDEX([1]ETAPP!B$1:B$32,MATCH(COUNTIF(BI76:BR76,20),[1]ETAPP!A$1:A$32,0))&amp;INDEX([1]ETAPP!B$1:B$32,MATCH(COUNTIF(BI76:BR76,21),[1]ETAPP!A$1:A$32,0))</f>
        <v>000000000000000000000</v>
      </c>
      <c r="T76" s="561" t="str">
        <f t="shared" si="100"/>
        <v>000,0-000000000000000000000</v>
      </c>
      <c r="U76" s="561">
        <f t="shared" si="101"/>
        <v>114</v>
      </c>
      <c r="V76" s="561">
        <f t="shared" si="102"/>
        <v>93</v>
      </c>
      <c r="W76" s="561" t="str">
        <f t="shared" si="103"/>
        <v>000,0-000000000000000000000-093</v>
      </c>
      <c r="X76" s="561">
        <f t="shared" si="104"/>
        <v>70</v>
      </c>
      <c r="Y76" s="562">
        <f t="shared" si="105"/>
        <v>45</v>
      </c>
      <c r="Z76" s="563" t="str">
        <f>IFERROR(INDEX('V1'!C$300:C$400,MATCH("*"&amp;L76&amp;"*",'V1'!B$300:B$400,0)),"  ")</f>
        <v xml:space="preserve">  </v>
      </c>
      <c r="AA76" s="563" t="str">
        <f>IFERROR(INDEX('V2'!C$300:C$400,MATCH("*"&amp;L76&amp;"*",'V2'!B$300:B$400,0)),"  ")</f>
        <v xml:space="preserve">  </v>
      </c>
      <c r="AB76" s="563" t="str">
        <f>IFERROR(INDEX('V3'!C$300:C$400,MATCH("*"&amp;L76&amp;"*",'V3'!B$300:B$400,0)),"  ")</f>
        <v xml:space="preserve">  </v>
      </c>
      <c r="AC76" s="563" t="str">
        <f>IFERROR(INDEX('V4'!C$300:C$400,MATCH("*"&amp;L76&amp;"*",'V4'!B$300:B$400,0)),"  ")</f>
        <v xml:space="preserve">  </v>
      </c>
      <c r="AD76" s="563" t="str">
        <f>IFERROR(INDEX('V5'!C$300:C$400,MATCH("*"&amp;L76&amp;"*",'V5'!B$300:B$400,0)),"  ")</f>
        <v xml:space="preserve">  </v>
      </c>
      <c r="AE76" s="563" t="str">
        <f>IFERROR(INDEX('V6'!C$300:C$400,MATCH("*"&amp;L76&amp;"*",'V6'!B$300:B$400,0)),"  ")</f>
        <v xml:space="preserve">  </v>
      </c>
      <c r="AF76" s="563" t="str">
        <f>IFERROR(INDEX('V7'!C$300:C$400,MATCH("*"&amp;L76&amp;"*",'V7'!B$300:B$400,0)),"  ")</f>
        <v xml:space="preserve">  </v>
      </c>
      <c r="AG76" s="563" t="str">
        <f>IFERROR(INDEX('V8'!C$300:C$400,MATCH("*"&amp;L76&amp;"*",'V8'!B$300:B$400,0)),"  ")</f>
        <v xml:space="preserve">  </v>
      </c>
      <c r="AH76" s="563" t="str">
        <f>IFERROR(INDEX('V9'!C$300:C$400,MATCH("*"&amp;L76&amp;"*",'V9'!B$300:B$400,0)),"  ")</f>
        <v xml:space="preserve">  </v>
      </c>
      <c r="AI76" s="563" t="str">
        <f>IFERROR(INDEX('V10'!C$300:C$400,MATCH("*"&amp;L76&amp;"*",'V10'!B$300:B$400,0)),"  ")</f>
        <v xml:space="preserve">  </v>
      </c>
      <c r="AJ76" s="564" t="str">
        <f t="shared" si="106"/>
        <v/>
      </c>
      <c r="AK76" s="565">
        <f t="shared" si="107"/>
        <v>0</v>
      </c>
      <c r="AL76" s="566" t="str">
        <f t="shared" si="108"/>
        <v/>
      </c>
      <c r="AM76" s="567" t="str">
        <f>IFERROR(INDEX(#REF!,MATCH("*"&amp;L76&amp;"*",#REF!,0)),"  ")</f>
        <v xml:space="preserve">  </v>
      </c>
      <c r="AN76" s="568">
        <f t="shared" si="109"/>
        <v>0</v>
      </c>
      <c r="AO76" s="469">
        <f t="shared" si="110"/>
        <v>0</v>
      </c>
      <c r="AP76" s="469">
        <f t="shared" si="111"/>
        <v>0</v>
      </c>
      <c r="AQ76" s="569"/>
      <c r="AR76" s="569"/>
      <c r="AS76" s="569"/>
      <c r="AT76" s="570">
        <f t="shared" si="112"/>
        <v>1E-4</v>
      </c>
      <c r="AU76" s="571">
        <f t="shared" si="113"/>
        <v>1E-4</v>
      </c>
      <c r="AV76" s="571">
        <f t="shared" si="114"/>
        <v>2.0000000000000001E-4</v>
      </c>
      <c r="AW76" s="571">
        <f t="shared" si="115"/>
        <v>2.9999999999999997E-4</v>
      </c>
      <c r="AX76" s="571">
        <f t="shared" si="116"/>
        <v>4.0000000000000002E-4</v>
      </c>
      <c r="AY76" s="571">
        <f t="shared" si="117"/>
        <v>5.0000000000000001E-4</v>
      </c>
      <c r="AZ76" s="571">
        <f t="shared" si="118"/>
        <v>5.9999999999999995E-4</v>
      </c>
      <c r="BA76" s="571">
        <f t="shared" si="119"/>
        <v>6.9999999999999999E-4</v>
      </c>
      <c r="BB76" s="571">
        <f t="shared" si="120"/>
        <v>8.0000000000000004E-4</v>
      </c>
      <c r="BC76" s="571">
        <f t="shared" si="121"/>
        <v>8.9999999999999998E-4</v>
      </c>
      <c r="BD76" s="571">
        <f t="shared" si="122"/>
        <v>1E-3</v>
      </c>
      <c r="BE76" s="569"/>
      <c r="BF76" s="569"/>
      <c r="BG76" s="569"/>
      <c r="BH76" s="569"/>
      <c r="BI76" s="377" t="e">
        <f t="shared" si="123"/>
        <v>#VALUE!</v>
      </c>
      <c r="BJ76" s="377" t="e">
        <f t="shared" si="124"/>
        <v>#VALUE!</v>
      </c>
      <c r="BK76" s="377" t="e">
        <f t="shared" si="125"/>
        <v>#VALUE!</v>
      </c>
      <c r="BL76" s="377" t="e">
        <f t="shared" si="126"/>
        <v>#VALUE!</v>
      </c>
      <c r="BM76" s="377" t="e">
        <f t="shared" si="127"/>
        <v>#VALUE!</v>
      </c>
      <c r="BN76" s="377" t="e">
        <f t="shared" si="128"/>
        <v>#VALUE!</v>
      </c>
      <c r="BO76" s="377" t="e">
        <f t="shared" si="129"/>
        <v>#VALUE!</v>
      </c>
      <c r="BP76" s="377" t="e">
        <f t="shared" si="130"/>
        <v>#VALUE!</v>
      </c>
      <c r="BQ76" s="377" t="e">
        <f t="shared" si="131"/>
        <v>#VALUE!</v>
      </c>
      <c r="BR76" s="377" t="e">
        <f t="shared" si="132"/>
        <v>#VALUE!</v>
      </c>
    </row>
    <row r="77" spans="1:70" ht="12.75" hidden="1" customHeight="1" x14ac:dyDescent="0.2">
      <c r="A77" s="484" t="str">
        <f t="shared" si="89"/>
        <v/>
      </c>
      <c r="B77" s="485">
        <f t="shared" si="90"/>
        <v>-886</v>
      </c>
      <c r="C77" s="486" t="str">
        <f t="shared" si="91"/>
        <v/>
      </c>
      <c r="D77" s="487">
        <f t="shared" si="92"/>
        <v>114</v>
      </c>
      <c r="E77" s="488" t="str">
        <f t="shared" si="93"/>
        <v/>
      </c>
      <c r="F77" s="489">
        <f t="shared" si="94"/>
        <v>114</v>
      </c>
      <c r="G77" s="490" t="str">
        <f t="shared" si="95"/>
        <v/>
      </c>
      <c r="H77" s="489">
        <f t="shared" si="96"/>
        <v>-886</v>
      </c>
      <c r="I77" s="491" t="str">
        <f t="shared" si="97"/>
        <v/>
      </c>
      <c r="J77" s="554">
        <f t="shared" si="98"/>
        <v>-886</v>
      </c>
      <c r="K77" s="526" t="str">
        <f t="shared" si="99"/>
        <v/>
      </c>
      <c r="L77" s="572" t="s">
        <v>216</v>
      </c>
      <c r="M77" s="556"/>
      <c r="N77" s="557" t="str">
        <f>IF(M77="","m","")</f>
        <v>m</v>
      </c>
      <c r="O77" s="558"/>
      <c r="P77" s="559" t="s">
        <v>269</v>
      </c>
      <c r="Q77" s="560"/>
      <c r="R77" s="539">
        <f>(IF(COUNT(Z77,AA77,AB77,AC77,AD77,AE77,AF77,AG77,AH77,AI77)&lt;10,SUM(Z77,AA77,AB77,AC77,AD77,AE77,AF77,AG77,AH77,AI77),SUM(LARGE((Z77,AA77,AB77,AC77,AD77,AE77,AF77,AG77,AH77,AI77),{1;2;3;4;5;6;7;8;9}))))</f>
        <v>0</v>
      </c>
      <c r="S77" s="561" t="str">
        <f>INDEX([1]ETAPP!B$1:B$32,MATCH(COUNTIF(BI77:BR77,1),[1]ETAPP!A$1:A$32,0))&amp;INDEX([1]ETAPP!B$1:B$32,MATCH(COUNTIF(BI77:BR77,2),[1]ETAPP!A$1:A$32,0))&amp;INDEX([1]ETAPP!B$1:B$32,MATCH(COUNTIF(BI77:BR77,3),[1]ETAPP!A$1:A$32,0))&amp;INDEX([1]ETAPP!B$1:B$32,MATCH(COUNTIF(BI77:BR77,4),[1]ETAPP!A$1:A$32,0))&amp;INDEX([1]ETAPP!B$1:B$32,MATCH(COUNTIF(BI77:BR77,5),[1]ETAPP!A$1:A$32,0))&amp;INDEX([1]ETAPP!B$1:B$32,MATCH(COUNTIF(BI77:BR77,6),[1]ETAPP!A$1:A$32,0))&amp;INDEX([1]ETAPP!B$1:B$32,MATCH(COUNTIF(BI77:BR77,7),[1]ETAPP!A$1:A$32,0))&amp;INDEX([1]ETAPP!B$1:B$32,MATCH(COUNTIF(BI77:BR77,8),[1]ETAPP!A$1:A$32,0))&amp;INDEX([1]ETAPP!B$1:B$32,MATCH(COUNTIF(BI77:BR77,9),[1]ETAPP!A$1:A$32,0))&amp;INDEX([1]ETAPP!B$1:B$32,MATCH(COUNTIF(BI77:BR77,10),[1]ETAPP!A$1:A$32,0))&amp;INDEX([1]ETAPP!B$1:B$32,MATCH(COUNTIF(BI77:BR77,11),[1]ETAPP!A$1:A$32,0))&amp;INDEX([1]ETAPP!B$1:B$32,MATCH(COUNTIF(BI77:BR77,12),[1]ETAPP!A$1:A$32,0))&amp;INDEX([1]ETAPP!B$1:B$32,MATCH(COUNTIF(BI77:BR77,13),[1]ETAPP!A$1:A$32,0))&amp;INDEX([1]ETAPP!B$1:B$32,MATCH(COUNTIF(BI77:BR77,14),[1]ETAPP!A$1:A$32,0))&amp;INDEX([1]ETAPP!B$1:B$32,MATCH(COUNTIF(BI77:BR77,15),[1]ETAPP!A$1:A$32,0))&amp;INDEX([1]ETAPP!B$1:B$32,MATCH(COUNTIF(BI77:BR77,16),[1]ETAPP!A$1:A$32,0))&amp;INDEX([1]ETAPP!B$1:B$32,MATCH(COUNTIF(BI77:BR77,17),[1]ETAPP!A$1:A$32,0))&amp;INDEX([1]ETAPP!B$1:B$32,MATCH(COUNTIF(BI77:BR77,18),[1]ETAPP!A$1:A$32,0))&amp;INDEX([1]ETAPP!B$1:B$32,MATCH(COUNTIF(BI77:BR77,19),[1]ETAPP!A$1:A$32,0))&amp;INDEX([1]ETAPP!B$1:B$32,MATCH(COUNTIF(BI77:BR77,20),[1]ETAPP!A$1:A$32,0))&amp;INDEX([1]ETAPP!B$1:B$32,MATCH(COUNTIF(BI77:BR77,21),[1]ETAPP!A$1:A$32,0))</f>
        <v>000000000000000000000</v>
      </c>
      <c r="T77" s="561" t="str">
        <f t="shared" si="100"/>
        <v>000,0-000000000000000000000</v>
      </c>
      <c r="U77" s="561">
        <f t="shared" si="101"/>
        <v>114</v>
      </c>
      <c r="V77" s="561">
        <f t="shared" si="102"/>
        <v>92</v>
      </c>
      <c r="W77" s="561" t="str">
        <f t="shared" si="103"/>
        <v>000,0-000000000000000000000-092</v>
      </c>
      <c r="X77" s="561">
        <f t="shared" si="104"/>
        <v>71</v>
      </c>
      <c r="Y77" s="562">
        <f t="shared" si="105"/>
        <v>44</v>
      </c>
      <c r="Z77" s="563" t="str">
        <f>IFERROR(INDEX('V1'!C$300:C$400,MATCH("*"&amp;L77&amp;"*",'V1'!B$300:B$400,0)),"  ")</f>
        <v xml:space="preserve">  </v>
      </c>
      <c r="AA77" s="563" t="str">
        <f>IFERROR(INDEX('V2'!C$300:C$400,MATCH("*"&amp;L77&amp;"*",'V2'!B$300:B$400,0)),"  ")</f>
        <v xml:space="preserve">  </v>
      </c>
      <c r="AB77" s="563" t="str">
        <f>IFERROR(INDEX('V3'!C$300:C$400,MATCH("*"&amp;L77&amp;"*",'V3'!B$300:B$400,0)),"  ")</f>
        <v xml:space="preserve">  </v>
      </c>
      <c r="AC77" s="563" t="str">
        <f>IFERROR(INDEX('V4'!C$300:C$400,MATCH("*"&amp;L77&amp;"*",'V4'!B$300:B$400,0)),"  ")</f>
        <v xml:space="preserve">  </v>
      </c>
      <c r="AD77" s="563" t="str">
        <f>IFERROR(INDEX('V5'!C$300:C$400,MATCH("*"&amp;L77&amp;"*",'V5'!B$300:B$400,0)),"  ")</f>
        <v xml:space="preserve">  </v>
      </c>
      <c r="AE77" s="563" t="str">
        <f>IFERROR(INDEX('V6'!C$300:C$400,MATCH("*"&amp;L77&amp;"*",'V6'!B$300:B$400,0)),"  ")</f>
        <v xml:space="preserve">  </v>
      </c>
      <c r="AF77" s="563" t="str">
        <f>IFERROR(INDEX('V7'!C$300:C$400,MATCH("*"&amp;L77&amp;"*",'V7'!B$300:B$400,0)),"  ")</f>
        <v xml:space="preserve">  </v>
      </c>
      <c r="AG77" s="563" t="str">
        <f>IFERROR(INDEX('V8'!C$300:C$400,MATCH("*"&amp;L77&amp;"*",'V8'!B$300:B$400,0)),"  ")</f>
        <v xml:space="preserve">  </v>
      </c>
      <c r="AH77" s="563" t="str">
        <f>IFERROR(INDEX('V9'!C$300:C$400,MATCH("*"&amp;L77&amp;"*",'V9'!B$300:B$400,0)),"  ")</f>
        <v xml:space="preserve">  </v>
      </c>
      <c r="AI77" s="563" t="str">
        <f>IFERROR(INDEX('V10'!C$300:C$400,MATCH("*"&amp;L77&amp;"*",'V10'!B$300:B$400,0)),"  ")</f>
        <v xml:space="preserve">  </v>
      </c>
      <c r="AJ77" s="564" t="str">
        <f t="shared" si="106"/>
        <v/>
      </c>
      <c r="AK77" s="565">
        <f t="shared" si="107"/>
        <v>0</v>
      </c>
      <c r="AL77" s="566" t="str">
        <f t="shared" si="108"/>
        <v/>
      </c>
      <c r="AM77" s="567" t="str">
        <f>IFERROR(INDEX(#REF!,MATCH("*"&amp;L77&amp;"*",#REF!,0)),"  ")</f>
        <v xml:space="preserve">  </v>
      </c>
      <c r="AN77" s="568">
        <f t="shared" si="109"/>
        <v>0</v>
      </c>
      <c r="AO77" s="469">
        <f t="shared" si="110"/>
        <v>0</v>
      </c>
      <c r="AP77" s="469">
        <f t="shared" si="111"/>
        <v>0</v>
      </c>
      <c r="AQ77" s="569"/>
      <c r="AR77" s="569"/>
      <c r="AS77" s="569"/>
      <c r="AT77" s="570">
        <f t="shared" si="112"/>
        <v>1E-4</v>
      </c>
      <c r="AU77" s="571">
        <f t="shared" si="113"/>
        <v>1E-4</v>
      </c>
      <c r="AV77" s="571">
        <f t="shared" si="114"/>
        <v>2.0000000000000001E-4</v>
      </c>
      <c r="AW77" s="571">
        <f t="shared" si="115"/>
        <v>2.9999999999999997E-4</v>
      </c>
      <c r="AX77" s="571">
        <f t="shared" si="116"/>
        <v>4.0000000000000002E-4</v>
      </c>
      <c r="AY77" s="571">
        <f t="shared" si="117"/>
        <v>5.0000000000000001E-4</v>
      </c>
      <c r="AZ77" s="571">
        <f t="shared" si="118"/>
        <v>5.9999999999999995E-4</v>
      </c>
      <c r="BA77" s="571">
        <f t="shared" si="119"/>
        <v>6.9999999999999999E-4</v>
      </c>
      <c r="BB77" s="571">
        <f t="shared" si="120"/>
        <v>8.0000000000000004E-4</v>
      </c>
      <c r="BC77" s="571">
        <f t="shared" si="121"/>
        <v>8.9999999999999998E-4</v>
      </c>
      <c r="BD77" s="571">
        <f t="shared" si="122"/>
        <v>1E-3</v>
      </c>
      <c r="BE77" s="569"/>
      <c r="BF77" s="569"/>
      <c r="BG77" s="569"/>
      <c r="BH77" s="569"/>
      <c r="BI77" s="377" t="e">
        <f t="shared" si="123"/>
        <v>#VALUE!</v>
      </c>
      <c r="BJ77" s="377" t="e">
        <f t="shared" si="124"/>
        <v>#VALUE!</v>
      </c>
      <c r="BK77" s="377" t="e">
        <f t="shared" si="125"/>
        <v>#VALUE!</v>
      </c>
      <c r="BL77" s="377" t="e">
        <f t="shared" si="126"/>
        <v>#VALUE!</v>
      </c>
      <c r="BM77" s="377" t="e">
        <f t="shared" si="127"/>
        <v>#VALUE!</v>
      </c>
      <c r="BN77" s="377" t="e">
        <f t="shared" si="128"/>
        <v>#VALUE!</v>
      </c>
      <c r="BO77" s="377" t="e">
        <f t="shared" si="129"/>
        <v>#VALUE!</v>
      </c>
      <c r="BP77" s="377" t="e">
        <f t="shared" si="130"/>
        <v>#VALUE!</v>
      </c>
      <c r="BQ77" s="377" t="e">
        <f t="shared" si="131"/>
        <v>#VALUE!</v>
      </c>
      <c r="BR77" s="377" t="e">
        <f t="shared" si="132"/>
        <v>#VALUE!</v>
      </c>
    </row>
    <row r="78" spans="1:70" ht="12.75" hidden="1" customHeight="1" x14ac:dyDescent="0.2">
      <c r="A78" s="484" t="str">
        <f t="shared" si="89"/>
        <v/>
      </c>
      <c r="B78" s="485">
        <f t="shared" si="90"/>
        <v>-886</v>
      </c>
      <c r="C78" s="486" t="str">
        <f t="shared" si="91"/>
        <v/>
      </c>
      <c r="D78" s="487">
        <f t="shared" si="92"/>
        <v>-886</v>
      </c>
      <c r="E78" s="488" t="str">
        <f t="shared" si="93"/>
        <v/>
      </c>
      <c r="F78" s="489">
        <f t="shared" si="94"/>
        <v>-886</v>
      </c>
      <c r="G78" s="490" t="str">
        <f t="shared" si="95"/>
        <v/>
      </c>
      <c r="H78" s="489">
        <f t="shared" si="96"/>
        <v>114</v>
      </c>
      <c r="I78" s="491" t="str">
        <f t="shared" si="97"/>
        <v/>
      </c>
      <c r="J78" s="554">
        <f t="shared" si="98"/>
        <v>-886</v>
      </c>
      <c r="K78" s="526" t="str">
        <f t="shared" si="99"/>
        <v/>
      </c>
      <c r="L78" s="555" t="s">
        <v>218</v>
      </c>
      <c r="M78" s="556" t="s">
        <v>170</v>
      </c>
      <c r="N78" s="557"/>
      <c r="O78" s="558"/>
      <c r="P78" s="559"/>
      <c r="Q78" s="560"/>
      <c r="R78" s="539">
        <f>(IF(COUNT(Z78,AA78,AB78,AC78,AD78,AE78,AF78,AG78,AH78,AI78)&lt;10,SUM(Z78,AA78,AB78,AC78,AD78,AE78,AF78,AG78,AH78,AI78),SUM(LARGE((Z78,AA78,AB78,AC78,AD78,AE78,AF78,AG78,AH78,AI78),{1;2;3;4;5;6;7;8;9}))))</f>
        <v>0</v>
      </c>
      <c r="S78" s="561" t="str">
        <f>INDEX([1]ETAPP!B$1:B$32,MATCH(COUNTIF(BI78:BR78,1),[1]ETAPP!A$1:A$32,0))&amp;INDEX([1]ETAPP!B$1:B$32,MATCH(COUNTIF(BI78:BR78,2),[1]ETAPP!A$1:A$32,0))&amp;INDEX([1]ETAPP!B$1:B$32,MATCH(COUNTIF(BI78:BR78,3),[1]ETAPP!A$1:A$32,0))&amp;INDEX([1]ETAPP!B$1:B$32,MATCH(COUNTIF(BI78:BR78,4),[1]ETAPP!A$1:A$32,0))&amp;INDEX([1]ETAPP!B$1:B$32,MATCH(COUNTIF(BI78:BR78,5),[1]ETAPP!A$1:A$32,0))&amp;INDEX([1]ETAPP!B$1:B$32,MATCH(COUNTIF(BI78:BR78,6),[1]ETAPP!A$1:A$32,0))&amp;INDEX([1]ETAPP!B$1:B$32,MATCH(COUNTIF(BI78:BR78,7),[1]ETAPP!A$1:A$32,0))&amp;INDEX([1]ETAPP!B$1:B$32,MATCH(COUNTIF(BI78:BR78,8),[1]ETAPP!A$1:A$32,0))&amp;INDEX([1]ETAPP!B$1:B$32,MATCH(COUNTIF(BI78:BR78,9),[1]ETAPP!A$1:A$32,0))&amp;INDEX([1]ETAPP!B$1:B$32,MATCH(COUNTIF(BI78:BR78,10),[1]ETAPP!A$1:A$32,0))&amp;INDEX([1]ETAPP!B$1:B$32,MATCH(COUNTIF(BI78:BR78,11),[1]ETAPP!A$1:A$32,0))&amp;INDEX([1]ETAPP!B$1:B$32,MATCH(COUNTIF(BI78:BR78,12),[1]ETAPP!A$1:A$32,0))&amp;INDEX([1]ETAPP!B$1:B$32,MATCH(COUNTIF(BI78:BR78,13),[1]ETAPP!A$1:A$32,0))&amp;INDEX([1]ETAPP!B$1:B$32,MATCH(COUNTIF(BI78:BR78,14),[1]ETAPP!A$1:A$32,0))&amp;INDEX([1]ETAPP!B$1:B$32,MATCH(COUNTIF(BI78:BR78,15),[1]ETAPP!A$1:A$32,0))&amp;INDEX([1]ETAPP!B$1:B$32,MATCH(COUNTIF(BI78:BR78,16),[1]ETAPP!A$1:A$32,0))&amp;INDEX([1]ETAPP!B$1:B$32,MATCH(COUNTIF(BI78:BR78,17),[1]ETAPP!A$1:A$32,0))&amp;INDEX([1]ETAPP!B$1:B$32,MATCH(COUNTIF(BI78:BR78,18),[1]ETAPP!A$1:A$32,0))&amp;INDEX([1]ETAPP!B$1:B$32,MATCH(COUNTIF(BI78:BR78,19),[1]ETAPP!A$1:A$32,0))&amp;INDEX([1]ETAPP!B$1:B$32,MATCH(COUNTIF(BI78:BR78,20),[1]ETAPP!A$1:A$32,0))&amp;INDEX([1]ETAPP!B$1:B$32,MATCH(COUNTIF(BI78:BR78,21),[1]ETAPP!A$1:A$32,0))</f>
        <v>000000000000000000000</v>
      </c>
      <c r="T78" s="561" t="str">
        <f t="shared" si="100"/>
        <v>000,0-000000000000000000000</v>
      </c>
      <c r="U78" s="561">
        <f t="shared" si="101"/>
        <v>114</v>
      </c>
      <c r="V78" s="561">
        <f t="shared" si="102"/>
        <v>88</v>
      </c>
      <c r="W78" s="561" t="str">
        <f t="shared" si="103"/>
        <v>000,0-000000000000000000000-088</v>
      </c>
      <c r="X78" s="561">
        <f t="shared" si="104"/>
        <v>72</v>
      </c>
      <c r="Y78" s="562">
        <f t="shared" si="105"/>
        <v>43</v>
      </c>
      <c r="Z78" s="563" t="str">
        <f>IFERROR(INDEX('V1'!C$300:C$400,MATCH("*"&amp;L78&amp;"*",'V1'!B$300:B$400,0)),"  ")</f>
        <v xml:space="preserve">  </v>
      </c>
      <c r="AA78" s="563" t="str">
        <f>IFERROR(INDEX('V2'!C$300:C$400,MATCH("*"&amp;L78&amp;"*",'V2'!B$300:B$400,0)),"  ")</f>
        <v xml:space="preserve">  </v>
      </c>
      <c r="AB78" s="563" t="str">
        <f>IFERROR(INDEX('V3'!C$300:C$400,MATCH("*"&amp;L78&amp;"*",'V3'!B$300:B$400,0)),"  ")</f>
        <v xml:space="preserve">  </v>
      </c>
      <c r="AC78" s="563" t="str">
        <f>IFERROR(INDEX('V4'!C$300:C$400,MATCH("*"&amp;L78&amp;"*",'V4'!B$300:B$400,0)),"  ")</f>
        <v xml:space="preserve">  </v>
      </c>
      <c r="AD78" s="563" t="str">
        <f>IFERROR(INDEX('V5'!C$300:C$400,MATCH("*"&amp;L78&amp;"*",'V5'!B$300:B$400,0)),"  ")</f>
        <v xml:space="preserve">  </v>
      </c>
      <c r="AE78" s="563" t="str">
        <f>IFERROR(INDEX('V6'!C$300:C$400,MATCH("*"&amp;L78&amp;"*",'V6'!B$300:B$400,0)),"  ")</f>
        <v xml:space="preserve">  </v>
      </c>
      <c r="AF78" s="563" t="str">
        <f>IFERROR(INDEX('V7'!C$300:C$400,MATCH("*"&amp;L78&amp;"*",'V7'!B$300:B$400,0)),"  ")</f>
        <v xml:space="preserve">  </v>
      </c>
      <c r="AG78" s="563" t="str">
        <f>IFERROR(INDEX('V8'!C$300:C$400,MATCH("*"&amp;L78&amp;"*",'V8'!B$300:B$400,0)),"  ")</f>
        <v xml:space="preserve">  </v>
      </c>
      <c r="AH78" s="563" t="str">
        <f>IFERROR(INDEX('V9'!C$300:C$400,MATCH("*"&amp;L78&amp;"*",'V9'!B$300:B$400,0)),"  ")</f>
        <v xml:space="preserve">  </v>
      </c>
      <c r="AI78" s="563" t="str">
        <f>IFERROR(INDEX('V10'!C$300:C$400,MATCH("*"&amp;L78&amp;"*",'V10'!B$300:B$400,0)),"  ")</f>
        <v xml:space="preserve">  </v>
      </c>
      <c r="AJ78" s="564" t="str">
        <f t="shared" si="106"/>
        <v/>
      </c>
      <c r="AK78" s="565">
        <f t="shared" si="107"/>
        <v>0</v>
      </c>
      <c r="AL78" s="566" t="str">
        <f t="shared" si="108"/>
        <v/>
      </c>
      <c r="AM78" s="567" t="str">
        <f>IFERROR(INDEX(#REF!,MATCH("*"&amp;L78&amp;"*",#REF!,0)),"  ")</f>
        <v xml:space="preserve">  </v>
      </c>
      <c r="AN78" s="568">
        <f t="shared" si="109"/>
        <v>0</v>
      </c>
      <c r="AO78" s="469">
        <f t="shared" si="110"/>
        <v>0</v>
      </c>
      <c r="AP78" s="469">
        <f t="shared" si="111"/>
        <v>0</v>
      </c>
      <c r="AQ78" s="569"/>
      <c r="AR78" s="569"/>
      <c r="AS78" s="569"/>
      <c r="AT78" s="570">
        <f t="shared" si="112"/>
        <v>1E-4</v>
      </c>
      <c r="AU78" s="571">
        <f t="shared" si="113"/>
        <v>1E-4</v>
      </c>
      <c r="AV78" s="571">
        <f t="shared" si="114"/>
        <v>2.0000000000000001E-4</v>
      </c>
      <c r="AW78" s="571">
        <f t="shared" si="115"/>
        <v>2.9999999999999997E-4</v>
      </c>
      <c r="AX78" s="571">
        <f t="shared" si="116"/>
        <v>4.0000000000000002E-4</v>
      </c>
      <c r="AY78" s="571">
        <f t="shared" si="117"/>
        <v>5.0000000000000001E-4</v>
      </c>
      <c r="AZ78" s="571">
        <f t="shared" si="118"/>
        <v>5.9999999999999995E-4</v>
      </c>
      <c r="BA78" s="571">
        <f t="shared" si="119"/>
        <v>6.9999999999999999E-4</v>
      </c>
      <c r="BB78" s="571">
        <f t="shared" si="120"/>
        <v>8.0000000000000004E-4</v>
      </c>
      <c r="BC78" s="571">
        <f t="shared" si="121"/>
        <v>8.9999999999999998E-4</v>
      </c>
      <c r="BD78" s="571">
        <f t="shared" si="122"/>
        <v>1E-3</v>
      </c>
      <c r="BE78" s="569"/>
      <c r="BF78" s="569"/>
      <c r="BG78" s="569"/>
      <c r="BH78" s="569"/>
      <c r="BI78" s="377" t="e">
        <f t="shared" si="123"/>
        <v>#VALUE!</v>
      </c>
      <c r="BJ78" s="377" t="e">
        <f t="shared" si="124"/>
        <v>#VALUE!</v>
      </c>
      <c r="BK78" s="377" t="e">
        <f t="shared" si="125"/>
        <v>#VALUE!</v>
      </c>
      <c r="BL78" s="377" t="e">
        <f t="shared" si="126"/>
        <v>#VALUE!</v>
      </c>
      <c r="BM78" s="377" t="e">
        <f t="shared" si="127"/>
        <v>#VALUE!</v>
      </c>
      <c r="BN78" s="377" t="e">
        <f t="shared" si="128"/>
        <v>#VALUE!</v>
      </c>
      <c r="BO78" s="377" t="e">
        <f t="shared" si="129"/>
        <v>#VALUE!</v>
      </c>
      <c r="BP78" s="377" t="e">
        <f t="shared" si="130"/>
        <v>#VALUE!</v>
      </c>
      <c r="BQ78" s="377" t="e">
        <f t="shared" si="131"/>
        <v>#VALUE!</v>
      </c>
      <c r="BR78" s="377" t="e">
        <f t="shared" si="132"/>
        <v>#VALUE!</v>
      </c>
    </row>
    <row r="79" spans="1:70" ht="12.75" hidden="1" customHeight="1" x14ac:dyDescent="0.2">
      <c r="A79" s="484" t="str">
        <f t="shared" si="89"/>
        <v/>
      </c>
      <c r="B79" s="485">
        <f t="shared" si="90"/>
        <v>114</v>
      </c>
      <c r="C79" s="486" t="str">
        <f t="shared" si="91"/>
        <v/>
      </c>
      <c r="D79" s="487">
        <f t="shared" si="92"/>
        <v>114</v>
      </c>
      <c r="E79" s="488" t="str">
        <f t="shared" si="93"/>
        <v/>
      </c>
      <c r="F79" s="489">
        <f t="shared" si="94"/>
        <v>114</v>
      </c>
      <c r="G79" s="490" t="str">
        <f t="shared" si="95"/>
        <v/>
      </c>
      <c r="H79" s="489">
        <f t="shared" si="96"/>
        <v>-886</v>
      </c>
      <c r="I79" s="491" t="str">
        <f t="shared" si="97"/>
        <v/>
      </c>
      <c r="J79" s="554">
        <f t="shared" si="98"/>
        <v>-886</v>
      </c>
      <c r="K79" s="526" t="str">
        <f t="shared" si="99"/>
        <v/>
      </c>
      <c r="L79" s="573" t="s">
        <v>219</v>
      </c>
      <c r="M79" s="556"/>
      <c r="N79" s="557" t="s">
        <v>168</v>
      </c>
      <c r="O79" s="558"/>
      <c r="P79" s="559" t="s">
        <v>269</v>
      </c>
      <c r="Q79" s="560" t="s">
        <v>148</v>
      </c>
      <c r="R79" s="539">
        <f>(IF(COUNT(Z79,AA79,AB79,AC79,AD79,AE79,AF79,AG79,AH79,AI79)&lt;10,SUM(Z79,AA79,AB79,AC79,AD79,AE79,AF79,AG79,AH79,AI79),SUM(LARGE((Z79,AA79,AB79,AC79,AD79,AE79,AF79,AG79,AH79,AI79),{1;2;3;4;5;6;7;8;9}))))</f>
        <v>0</v>
      </c>
      <c r="S79" s="561" t="str">
        <f>INDEX([1]ETAPP!B$1:B$32,MATCH(COUNTIF(BI79:BR79,1),[1]ETAPP!A$1:A$32,0))&amp;INDEX([1]ETAPP!B$1:B$32,MATCH(COUNTIF(BI79:BR79,2),[1]ETAPP!A$1:A$32,0))&amp;INDEX([1]ETAPP!B$1:B$32,MATCH(COUNTIF(BI79:BR79,3),[1]ETAPP!A$1:A$32,0))&amp;INDEX([1]ETAPP!B$1:B$32,MATCH(COUNTIF(BI79:BR79,4),[1]ETAPP!A$1:A$32,0))&amp;INDEX([1]ETAPP!B$1:B$32,MATCH(COUNTIF(BI79:BR79,5),[1]ETAPP!A$1:A$32,0))&amp;INDEX([1]ETAPP!B$1:B$32,MATCH(COUNTIF(BI79:BR79,6),[1]ETAPP!A$1:A$32,0))&amp;INDEX([1]ETAPP!B$1:B$32,MATCH(COUNTIF(BI79:BR79,7),[1]ETAPP!A$1:A$32,0))&amp;INDEX([1]ETAPP!B$1:B$32,MATCH(COUNTIF(BI79:BR79,8),[1]ETAPP!A$1:A$32,0))&amp;INDEX([1]ETAPP!B$1:B$32,MATCH(COUNTIF(BI79:BR79,9),[1]ETAPP!A$1:A$32,0))&amp;INDEX([1]ETAPP!B$1:B$32,MATCH(COUNTIF(BI79:BR79,10),[1]ETAPP!A$1:A$32,0))&amp;INDEX([1]ETAPP!B$1:B$32,MATCH(COUNTIF(BI79:BR79,11),[1]ETAPP!A$1:A$32,0))&amp;INDEX([1]ETAPP!B$1:B$32,MATCH(COUNTIF(BI79:BR79,12),[1]ETAPP!A$1:A$32,0))&amp;INDEX([1]ETAPP!B$1:B$32,MATCH(COUNTIF(BI79:BR79,13),[1]ETAPP!A$1:A$32,0))&amp;INDEX([1]ETAPP!B$1:B$32,MATCH(COUNTIF(BI79:BR79,14),[1]ETAPP!A$1:A$32,0))&amp;INDEX([1]ETAPP!B$1:B$32,MATCH(COUNTIF(BI79:BR79,15),[1]ETAPP!A$1:A$32,0))&amp;INDEX([1]ETAPP!B$1:B$32,MATCH(COUNTIF(BI79:BR79,16),[1]ETAPP!A$1:A$32,0))&amp;INDEX([1]ETAPP!B$1:B$32,MATCH(COUNTIF(BI79:BR79,17),[1]ETAPP!A$1:A$32,0))&amp;INDEX([1]ETAPP!B$1:B$32,MATCH(COUNTIF(BI79:BR79,18),[1]ETAPP!A$1:A$32,0))&amp;INDEX([1]ETAPP!B$1:B$32,MATCH(COUNTIF(BI79:BR79,19),[1]ETAPP!A$1:A$32,0))&amp;INDEX([1]ETAPP!B$1:B$32,MATCH(COUNTIF(BI79:BR79,20),[1]ETAPP!A$1:A$32,0))&amp;INDEX([1]ETAPP!B$1:B$32,MATCH(COUNTIF(BI79:BR79,21),[1]ETAPP!A$1:A$32,0))</f>
        <v>000000000000000000000</v>
      </c>
      <c r="T79" s="561" t="str">
        <f t="shared" si="100"/>
        <v>000,0-000000000000000000000</v>
      </c>
      <c r="U79" s="561">
        <f t="shared" si="101"/>
        <v>114</v>
      </c>
      <c r="V79" s="561">
        <f t="shared" si="102"/>
        <v>87</v>
      </c>
      <c r="W79" s="561" t="str">
        <f t="shared" si="103"/>
        <v>000,0-000000000000000000000-087</v>
      </c>
      <c r="X79" s="561">
        <f t="shared" si="104"/>
        <v>73</v>
      </c>
      <c r="Y79" s="562">
        <f t="shared" si="105"/>
        <v>42</v>
      </c>
      <c r="Z79" s="563" t="str">
        <f>IFERROR(INDEX('V1'!C$300:C$400,MATCH("*"&amp;L79&amp;"*",'V1'!B$300:B$400,0)),"  ")</f>
        <v xml:space="preserve">  </v>
      </c>
      <c r="AA79" s="563" t="str">
        <f>IFERROR(INDEX('V2'!C$300:C$400,MATCH("*"&amp;L79&amp;"*",'V2'!B$300:B$400,0)),"  ")</f>
        <v xml:space="preserve">  </v>
      </c>
      <c r="AB79" s="563" t="str">
        <f>IFERROR(INDEX('V3'!C$300:C$400,MATCH("*"&amp;L79&amp;"*",'V3'!B$300:B$400,0)),"  ")</f>
        <v xml:space="preserve">  </v>
      </c>
      <c r="AC79" s="563" t="str">
        <f>IFERROR(INDEX('V4'!C$300:C$400,MATCH("*"&amp;L79&amp;"*",'V4'!B$300:B$400,0)),"  ")</f>
        <v xml:space="preserve">  </v>
      </c>
      <c r="AD79" s="563" t="str">
        <f>IFERROR(INDEX('V5'!C$300:C$400,MATCH("*"&amp;L79&amp;"*",'V5'!B$300:B$400,0)),"  ")</f>
        <v xml:space="preserve">  </v>
      </c>
      <c r="AE79" s="563" t="str">
        <f>IFERROR(INDEX('V6'!C$300:C$400,MATCH("*"&amp;L79&amp;"*",'V6'!B$300:B$400,0)),"  ")</f>
        <v xml:space="preserve">  </v>
      </c>
      <c r="AF79" s="563" t="str">
        <f>IFERROR(INDEX('V7'!C$300:C$400,MATCH("*"&amp;L79&amp;"*",'V7'!B$300:B$400,0)),"  ")</f>
        <v xml:space="preserve">  </v>
      </c>
      <c r="AG79" s="563" t="str">
        <f>IFERROR(INDEX('V8'!C$300:C$400,MATCH("*"&amp;L79&amp;"*",'V8'!B$300:B$400,0)),"  ")</f>
        <v xml:space="preserve">  </v>
      </c>
      <c r="AH79" s="563" t="str">
        <f>IFERROR(INDEX('V9'!C$300:C$400,MATCH("*"&amp;L79&amp;"*",'V9'!B$300:B$400,0)),"  ")</f>
        <v xml:space="preserve">  </v>
      </c>
      <c r="AI79" s="563" t="str">
        <f>IFERROR(INDEX('V10'!C$300:C$400,MATCH("*"&amp;L79&amp;"*",'V10'!B$300:B$400,0)),"  ")</f>
        <v xml:space="preserve">  </v>
      </c>
      <c r="AJ79" s="564" t="str">
        <f t="shared" si="106"/>
        <v/>
      </c>
      <c r="AK79" s="565">
        <f t="shared" si="107"/>
        <v>0</v>
      </c>
      <c r="AL79" s="566" t="str">
        <f t="shared" si="108"/>
        <v/>
      </c>
      <c r="AM79" s="567" t="str">
        <f>IFERROR(INDEX(#REF!,MATCH("*"&amp;L79&amp;"*",#REF!,0)),"  ")</f>
        <v xml:space="preserve">  </v>
      </c>
      <c r="AN79" s="568">
        <f t="shared" si="109"/>
        <v>0</v>
      </c>
      <c r="AO79" s="469">
        <f t="shared" si="110"/>
        <v>0</v>
      </c>
      <c r="AP79" s="469">
        <f t="shared" si="111"/>
        <v>0</v>
      </c>
      <c r="AQ79" s="569"/>
      <c r="AR79" s="569"/>
      <c r="AS79" s="569"/>
      <c r="AT79" s="570">
        <f t="shared" si="112"/>
        <v>1E-4</v>
      </c>
      <c r="AU79" s="571">
        <f t="shared" si="113"/>
        <v>1E-4</v>
      </c>
      <c r="AV79" s="571">
        <f t="shared" si="114"/>
        <v>2.0000000000000001E-4</v>
      </c>
      <c r="AW79" s="571">
        <f t="shared" si="115"/>
        <v>2.9999999999999997E-4</v>
      </c>
      <c r="AX79" s="571">
        <f t="shared" si="116"/>
        <v>4.0000000000000002E-4</v>
      </c>
      <c r="AY79" s="571">
        <f t="shared" si="117"/>
        <v>5.0000000000000001E-4</v>
      </c>
      <c r="AZ79" s="571">
        <f t="shared" si="118"/>
        <v>5.9999999999999995E-4</v>
      </c>
      <c r="BA79" s="571">
        <f t="shared" si="119"/>
        <v>6.9999999999999999E-4</v>
      </c>
      <c r="BB79" s="571">
        <f t="shared" si="120"/>
        <v>8.0000000000000004E-4</v>
      </c>
      <c r="BC79" s="571">
        <f t="shared" si="121"/>
        <v>8.9999999999999998E-4</v>
      </c>
      <c r="BD79" s="571">
        <f t="shared" si="122"/>
        <v>1E-3</v>
      </c>
      <c r="BE79" s="569"/>
      <c r="BF79" s="569"/>
      <c r="BG79" s="569"/>
      <c r="BH79" s="569"/>
      <c r="BI79" s="377" t="e">
        <f t="shared" si="123"/>
        <v>#VALUE!</v>
      </c>
      <c r="BJ79" s="377" t="e">
        <f t="shared" si="124"/>
        <v>#VALUE!</v>
      </c>
      <c r="BK79" s="377" t="e">
        <f t="shared" si="125"/>
        <v>#VALUE!</v>
      </c>
      <c r="BL79" s="377" t="e">
        <f t="shared" si="126"/>
        <v>#VALUE!</v>
      </c>
      <c r="BM79" s="377" t="e">
        <f t="shared" si="127"/>
        <v>#VALUE!</v>
      </c>
      <c r="BN79" s="377" t="e">
        <f t="shared" si="128"/>
        <v>#VALUE!</v>
      </c>
      <c r="BO79" s="377" t="e">
        <f t="shared" si="129"/>
        <v>#VALUE!</v>
      </c>
      <c r="BP79" s="377" t="e">
        <f t="shared" si="130"/>
        <v>#VALUE!</v>
      </c>
      <c r="BQ79" s="377" t="e">
        <f t="shared" si="131"/>
        <v>#VALUE!</v>
      </c>
      <c r="BR79" s="377" t="e">
        <f t="shared" si="132"/>
        <v>#VALUE!</v>
      </c>
    </row>
    <row r="80" spans="1:70" ht="12.75" hidden="1" customHeight="1" x14ac:dyDescent="0.2">
      <c r="A80" s="484" t="str">
        <f t="shared" si="89"/>
        <v/>
      </c>
      <c r="B80" s="485">
        <f t="shared" si="90"/>
        <v>-886</v>
      </c>
      <c r="C80" s="486" t="str">
        <f t="shared" si="91"/>
        <v/>
      </c>
      <c r="D80" s="487">
        <f t="shared" si="92"/>
        <v>114</v>
      </c>
      <c r="E80" s="488" t="str">
        <f t="shared" si="93"/>
        <v/>
      </c>
      <c r="F80" s="489">
        <f t="shared" si="94"/>
        <v>114</v>
      </c>
      <c r="G80" s="490" t="str">
        <f t="shared" si="95"/>
        <v/>
      </c>
      <c r="H80" s="489">
        <f t="shared" si="96"/>
        <v>-886</v>
      </c>
      <c r="I80" s="491" t="str">
        <f t="shared" si="97"/>
        <v/>
      </c>
      <c r="J80" s="554">
        <f t="shared" si="98"/>
        <v>-886</v>
      </c>
      <c r="K80" s="526" t="str">
        <f t="shared" si="99"/>
        <v/>
      </c>
      <c r="L80" s="572" t="s">
        <v>220</v>
      </c>
      <c r="M80" s="556"/>
      <c r="N80" s="557" t="str">
        <f>IF(M80="","m","")</f>
        <v>m</v>
      </c>
      <c r="O80" s="558"/>
      <c r="P80" s="559" t="s">
        <v>269</v>
      </c>
      <c r="Q80" s="560"/>
      <c r="R80" s="539">
        <f>(IF(COUNT(Z80,AA80,AB80,AC80,AD80,AE80,AF80,AG80,AH80,AI80)&lt;10,SUM(Z80,AA80,AB80,AC80,AD80,AE80,AF80,AG80,AH80,AI80),SUM(LARGE((Z80,AA80,AB80,AC80,AD80,AE80,AF80,AG80,AH80,AI80),{1;2;3;4;5;6;7;8;9}))))</f>
        <v>0</v>
      </c>
      <c r="S80" s="561" t="str">
        <f>INDEX([1]ETAPP!B$1:B$32,MATCH(COUNTIF(BI80:BR80,1),[1]ETAPP!A$1:A$32,0))&amp;INDEX([1]ETAPP!B$1:B$32,MATCH(COUNTIF(BI80:BR80,2),[1]ETAPP!A$1:A$32,0))&amp;INDEX([1]ETAPP!B$1:B$32,MATCH(COUNTIF(BI80:BR80,3),[1]ETAPP!A$1:A$32,0))&amp;INDEX([1]ETAPP!B$1:B$32,MATCH(COUNTIF(BI80:BR80,4),[1]ETAPP!A$1:A$32,0))&amp;INDEX([1]ETAPP!B$1:B$32,MATCH(COUNTIF(BI80:BR80,5),[1]ETAPP!A$1:A$32,0))&amp;INDEX([1]ETAPP!B$1:B$32,MATCH(COUNTIF(BI80:BR80,6),[1]ETAPP!A$1:A$32,0))&amp;INDEX([1]ETAPP!B$1:B$32,MATCH(COUNTIF(BI80:BR80,7),[1]ETAPP!A$1:A$32,0))&amp;INDEX([1]ETAPP!B$1:B$32,MATCH(COUNTIF(BI80:BR80,8),[1]ETAPP!A$1:A$32,0))&amp;INDEX([1]ETAPP!B$1:B$32,MATCH(COUNTIF(BI80:BR80,9),[1]ETAPP!A$1:A$32,0))&amp;INDEX([1]ETAPP!B$1:B$32,MATCH(COUNTIF(BI80:BR80,10),[1]ETAPP!A$1:A$32,0))&amp;INDEX([1]ETAPP!B$1:B$32,MATCH(COUNTIF(BI80:BR80,11),[1]ETAPP!A$1:A$32,0))&amp;INDEX([1]ETAPP!B$1:B$32,MATCH(COUNTIF(BI80:BR80,12),[1]ETAPP!A$1:A$32,0))&amp;INDEX([1]ETAPP!B$1:B$32,MATCH(COUNTIF(BI80:BR80,13),[1]ETAPP!A$1:A$32,0))&amp;INDEX([1]ETAPP!B$1:B$32,MATCH(COUNTIF(BI80:BR80,14),[1]ETAPP!A$1:A$32,0))&amp;INDEX([1]ETAPP!B$1:B$32,MATCH(COUNTIF(BI80:BR80,15),[1]ETAPP!A$1:A$32,0))&amp;INDEX([1]ETAPP!B$1:B$32,MATCH(COUNTIF(BI80:BR80,16),[1]ETAPP!A$1:A$32,0))&amp;INDEX([1]ETAPP!B$1:B$32,MATCH(COUNTIF(BI80:BR80,17),[1]ETAPP!A$1:A$32,0))&amp;INDEX([1]ETAPP!B$1:B$32,MATCH(COUNTIF(BI80:BR80,18),[1]ETAPP!A$1:A$32,0))&amp;INDEX([1]ETAPP!B$1:B$32,MATCH(COUNTIF(BI80:BR80,19),[1]ETAPP!A$1:A$32,0))&amp;INDEX([1]ETAPP!B$1:B$32,MATCH(COUNTIF(BI80:BR80,20),[1]ETAPP!A$1:A$32,0))&amp;INDEX([1]ETAPP!B$1:B$32,MATCH(COUNTIF(BI80:BR80,21),[1]ETAPP!A$1:A$32,0))</f>
        <v>000000000000000000000</v>
      </c>
      <c r="T80" s="561" t="str">
        <f t="shared" si="100"/>
        <v>000,0-000000000000000000000</v>
      </c>
      <c r="U80" s="561">
        <f t="shared" si="101"/>
        <v>114</v>
      </c>
      <c r="V80" s="561">
        <f t="shared" si="102"/>
        <v>84</v>
      </c>
      <c r="W80" s="561" t="str">
        <f t="shared" si="103"/>
        <v>000,0-000000000000000000000-084</v>
      </c>
      <c r="X80" s="561">
        <f t="shared" si="104"/>
        <v>74</v>
      </c>
      <c r="Y80" s="562">
        <f t="shared" si="105"/>
        <v>41</v>
      </c>
      <c r="Z80" s="563" t="str">
        <f>IFERROR(INDEX('V1'!C$300:C$400,MATCH("*"&amp;L80&amp;"*",'V1'!B$300:B$400,0)),"  ")</f>
        <v xml:space="preserve">  </v>
      </c>
      <c r="AA80" s="563" t="str">
        <f>IFERROR(INDEX('V2'!C$300:C$400,MATCH("*"&amp;L80&amp;"*",'V2'!B$300:B$400,0)),"  ")</f>
        <v xml:space="preserve">  </v>
      </c>
      <c r="AB80" s="563" t="str">
        <f>IFERROR(INDEX('V3'!C$300:C$400,MATCH("*"&amp;L80&amp;"*",'V3'!B$300:B$400,0)),"  ")</f>
        <v xml:space="preserve">  </v>
      </c>
      <c r="AC80" s="563" t="str">
        <f>IFERROR(INDEX('V4'!C$300:C$400,MATCH("*"&amp;L80&amp;"*",'V4'!B$300:B$400,0)),"  ")</f>
        <v xml:space="preserve">  </v>
      </c>
      <c r="AD80" s="563" t="str">
        <f>IFERROR(INDEX('V5'!C$300:C$400,MATCH("*"&amp;L80&amp;"*",'V5'!B$300:B$400,0)),"  ")</f>
        <v xml:space="preserve">  </v>
      </c>
      <c r="AE80" s="563" t="str">
        <f>IFERROR(INDEX('V6'!C$300:C$400,MATCH("*"&amp;L80&amp;"*",'V6'!B$300:B$400,0)),"  ")</f>
        <v xml:space="preserve">  </v>
      </c>
      <c r="AF80" s="563" t="str">
        <f>IFERROR(INDEX('V7'!C$300:C$400,MATCH("*"&amp;L80&amp;"*",'V7'!B$300:B$400,0)),"  ")</f>
        <v xml:space="preserve">  </v>
      </c>
      <c r="AG80" s="563" t="str">
        <f>IFERROR(INDEX('V8'!C$300:C$400,MATCH("*"&amp;L80&amp;"*",'V8'!B$300:B$400,0)),"  ")</f>
        <v xml:space="preserve">  </v>
      </c>
      <c r="AH80" s="563" t="str">
        <f>IFERROR(INDEX('V9'!C$300:C$400,MATCH("*"&amp;L80&amp;"*",'V9'!B$300:B$400,0)),"  ")</f>
        <v xml:space="preserve">  </v>
      </c>
      <c r="AI80" s="563" t="str">
        <f>IFERROR(INDEX('V10'!C$300:C$400,MATCH("*"&amp;L80&amp;"*",'V10'!B$300:B$400,0)),"  ")</f>
        <v xml:space="preserve">  </v>
      </c>
      <c r="AJ80" s="564" t="str">
        <f t="shared" si="106"/>
        <v/>
      </c>
      <c r="AK80" s="565">
        <f t="shared" si="107"/>
        <v>0</v>
      </c>
      <c r="AL80" s="566" t="str">
        <f t="shared" si="108"/>
        <v/>
      </c>
      <c r="AM80" s="567" t="str">
        <f>IFERROR(INDEX(#REF!,MATCH("*"&amp;L80&amp;"*",#REF!,0)),"  ")</f>
        <v xml:space="preserve">  </v>
      </c>
      <c r="AN80" s="568">
        <f t="shared" si="109"/>
        <v>0</v>
      </c>
      <c r="AO80" s="469">
        <f t="shared" si="110"/>
        <v>0</v>
      </c>
      <c r="AP80" s="469">
        <f t="shared" si="111"/>
        <v>0</v>
      </c>
      <c r="AQ80" s="569"/>
      <c r="AR80" s="569"/>
      <c r="AS80" s="569"/>
      <c r="AT80" s="570">
        <f t="shared" si="112"/>
        <v>1E-4</v>
      </c>
      <c r="AU80" s="571">
        <f t="shared" si="113"/>
        <v>1E-4</v>
      </c>
      <c r="AV80" s="571">
        <f t="shared" si="114"/>
        <v>2.0000000000000001E-4</v>
      </c>
      <c r="AW80" s="571">
        <f t="shared" si="115"/>
        <v>2.9999999999999997E-4</v>
      </c>
      <c r="AX80" s="571">
        <f t="shared" si="116"/>
        <v>4.0000000000000002E-4</v>
      </c>
      <c r="AY80" s="571">
        <f t="shared" si="117"/>
        <v>5.0000000000000001E-4</v>
      </c>
      <c r="AZ80" s="571">
        <f t="shared" si="118"/>
        <v>5.9999999999999995E-4</v>
      </c>
      <c r="BA80" s="571">
        <f t="shared" si="119"/>
        <v>6.9999999999999999E-4</v>
      </c>
      <c r="BB80" s="571">
        <f t="shared" si="120"/>
        <v>8.0000000000000004E-4</v>
      </c>
      <c r="BC80" s="571">
        <f t="shared" si="121"/>
        <v>8.9999999999999998E-4</v>
      </c>
      <c r="BD80" s="571">
        <f t="shared" si="122"/>
        <v>1E-3</v>
      </c>
      <c r="BE80" s="569"/>
      <c r="BF80" s="569"/>
      <c r="BG80" s="569"/>
      <c r="BH80" s="569"/>
      <c r="BI80" s="377" t="e">
        <f t="shared" si="123"/>
        <v>#VALUE!</v>
      </c>
      <c r="BJ80" s="377" t="e">
        <f t="shared" si="124"/>
        <v>#VALUE!</v>
      </c>
      <c r="BK80" s="377" t="e">
        <f t="shared" si="125"/>
        <v>#VALUE!</v>
      </c>
      <c r="BL80" s="377" t="e">
        <f t="shared" si="126"/>
        <v>#VALUE!</v>
      </c>
      <c r="BM80" s="377" t="e">
        <f t="shared" si="127"/>
        <v>#VALUE!</v>
      </c>
      <c r="BN80" s="377" t="e">
        <f t="shared" si="128"/>
        <v>#VALUE!</v>
      </c>
      <c r="BO80" s="377" t="e">
        <f t="shared" si="129"/>
        <v>#VALUE!</v>
      </c>
      <c r="BP80" s="377" t="e">
        <f t="shared" si="130"/>
        <v>#VALUE!</v>
      </c>
      <c r="BQ80" s="377" t="e">
        <f t="shared" si="131"/>
        <v>#VALUE!</v>
      </c>
      <c r="BR80" s="377" t="e">
        <f t="shared" si="132"/>
        <v>#VALUE!</v>
      </c>
    </row>
    <row r="81" spans="1:70" ht="12.75" hidden="1" customHeight="1" x14ac:dyDescent="0.2">
      <c r="A81" s="484" t="str">
        <f t="shared" si="89"/>
        <v/>
      </c>
      <c r="B81" s="485">
        <f t="shared" si="90"/>
        <v>-886</v>
      </c>
      <c r="C81" s="486" t="str">
        <f t="shared" si="91"/>
        <v/>
      </c>
      <c r="D81" s="487">
        <f t="shared" si="92"/>
        <v>-886</v>
      </c>
      <c r="E81" s="488" t="str">
        <f t="shared" si="93"/>
        <v/>
      </c>
      <c r="F81" s="489">
        <f t="shared" si="94"/>
        <v>-886</v>
      </c>
      <c r="G81" s="490" t="str">
        <f t="shared" si="95"/>
        <v/>
      </c>
      <c r="H81" s="489">
        <f t="shared" si="96"/>
        <v>114</v>
      </c>
      <c r="I81" s="491" t="str">
        <f t="shared" si="97"/>
        <v/>
      </c>
      <c r="J81" s="554">
        <f t="shared" si="98"/>
        <v>-886</v>
      </c>
      <c r="K81" s="526" t="str">
        <f t="shared" si="99"/>
        <v/>
      </c>
      <c r="L81" s="555" t="s">
        <v>283</v>
      </c>
      <c r="M81" s="556" t="s">
        <v>170</v>
      </c>
      <c r="N81" s="557"/>
      <c r="O81" s="558"/>
      <c r="P81" s="559"/>
      <c r="Q81" s="560" t="s">
        <v>284</v>
      </c>
      <c r="R81" s="539">
        <f>(IF(COUNT(Z81,AA81,AB81,AC81,AD81,AE81,AF81,AG81,AH81,AI81)&lt;10,SUM(Z81,AA81,AB81,AC81,AD81,AE81,AF81,AG81,AH81,AI81),SUM(LARGE((Z81,AA81,AB81,AC81,AD81,AE81,AF81,AG81,AH81,AI81),{1;2;3;4;5;6;7;8;9}))))</f>
        <v>0</v>
      </c>
      <c r="S81" s="561" t="str">
        <f>INDEX([1]ETAPP!B$1:B$32,MATCH(COUNTIF(BI81:BR81,1),[1]ETAPP!A$1:A$32,0))&amp;INDEX([1]ETAPP!B$1:B$32,MATCH(COUNTIF(BI81:BR81,2),[1]ETAPP!A$1:A$32,0))&amp;INDEX([1]ETAPP!B$1:B$32,MATCH(COUNTIF(BI81:BR81,3),[1]ETAPP!A$1:A$32,0))&amp;INDEX([1]ETAPP!B$1:B$32,MATCH(COUNTIF(BI81:BR81,4),[1]ETAPP!A$1:A$32,0))&amp;INDEX([1]ETAPP!B$1:B$32,MATCH(COUNTIF(BI81:BR81,5),[1]ETAPP!A$1:A$32,0))&amp;INDEX([1]ETAPP!B$1:B$32,MATCH(COUNTIF(BI81:BR81,6),[1]ETAPP!A$1:A$32,0))&amp;INDEX([1]ETAPP!B$1:B$32,MATCH(COUNTIF(BI81:BR81,7),[1]ETAPP!A$1:A$32,0))&amp;INDEX([1]ETAPP!B$1:B$32,MATCH(COUNTIF(BI81:BR81,8),[1]ETAPP!A$1:A$32,0))&amp;INDEX([1]ETAPP!B$1:B$32,MATCH(COUNTIF(BI81:BR81,9),[1]ETAPP!A$1:A$32,0))&amp;INDEX([1]ETAPP!B$1:B$32,MATCH(COUNTIF(BI81:BR81,10),[1]ETAPP!A$1:A$32,0))&amp;INDEX([1]ETAPP!B$1:B$32,MATCH(COUNTIF(BI81:BR81,11),[1]ETAPP!A$1:A$32,0))&amp;INDEX([1]ETAPP!B$1:B$32,MATCH(COUNTIF(BI81:BR81,12),[1]ETAPP!A$1:A$32,0))&amp;INDEX([1]ETAPP!B$1:B$32,MATCH(COUNTIF(BI81:BR81,13),[1]ETAPP!A$1:A$32,0))&amp;INDEX([1]ETAPP!B$1:B$32,MATCH(COUNTIF(BI81:BR81,14),[1]ETAPP!A$1:A$32,0))&amp;INDEX([1]ETAPP!B$1:B$32,MATCH(COUNTIF(BI81:BR81,15),[1]ETAPP!A$1:A$32,0))&amp;INDEX([1]ETAPP!B$1:B$32,MATCH(COUNTIF(BI81:BR81,16),[1]ETAPP!A$1:A$32,0))&amp;INDEX([1]ETAPP!B$1:B$32,MATCH(COUNTIF(BI81:BR81,17),[1]ETAPP!A$1:A$32,0))&amp;INDEX([1]ETAPP!B$1:B$32,MATCH(COUNTIF(BI81:BR81,18),[1]ETAPP!A$1:A$32,0))&amp;INDEX([1]ETAPP!B$1:B$32,MATCH(COUNTIF(BI81:BR81,19),[1]ETAPP!A$1:A$32,0))&amp;INDEX([1]ETAPP!B$1:B$32,MATCH(COUNTIF(BI81:BR81,20),[1]ETAPP!A$1:A$32,0))&amp;INDEX([1]ETAPP!B$1:B$32,MATCH(COUNTIF(BI81:BR81,21),[1]ETAPP!A$1:A$32,0))</f>
        <v>000000000000000000000</v>
      </c>
      <c r="T81" s="561" t="str">
        <f t="shared" si="100"/>
        <v>000,0-000000000000000000000</v>
      </c>
      <c r="U81" s="561">
        <f t="shared" si="101"/>
        <v>114</v>
      </c>
      <c r="V81" s="561">
        <f t="shared" si="102"/>
        <v>81</v>
      </c>
      <c r="W81" s="561" t="str">
        <f t="shared" si="103"/>
        <v>000,0-000000000000000000000-081</v>
      </c>
      <c r="X81" s="561">
        <f t="shared" si="104"/>
        <v>75</v>
      </c>
      <c r="Y81" s="562">
        <f t="shared" si="105"/>
        <v>40</v>
      </c>
      <c r="Z81" s="563" t="str">
        <f>IFERROR(INDEX('V1'!C$300:C$400,MATCH("*"&amp;L81&amp;"*",'V1'!B$300:B$400,0)),"  ")</f>
        <v xml:space="preserve">  </v>
      </c>
      <c r="AA81" s="563" t="str">
        <f>IFERROR(INDEX('V2'!C$300:C$400,MATCH("*"&amp;L81&amp;"*",'V2'!B$300:B$400,0)),"  ")</f>
        <v xml:space="preserve">  </v>
      </c>
      <c r="AB81" s="563" t="str">
        <f>IFERROR(INDEX('V3'!C$300:C$400,MATCH("*"&amp;L81&amp;"*",'V3'!B$300:B$400,0)),"  ")</f>
        <v xml:space="preserve">  </v>
      </c>
      <c r="AC81" s="563" t="str">
        <f>IFERROR(INDEX('V4'!C$300:C$400,MATCH("*"&amp;L81&amp;"*",'V4'!B$300:B$400,0)),"  ")</f>
        <v xml:space="preserve">  </v>
      </c>
      <c r="AD81" s="563" t="str">
        <f>IFERROR(INDEX('V5'!C$300:C$400,MATCH("*"&amp;L81&amp;"*",'V5'!B$300:B$400,0)),"  ")</f>
        <v xml:space="preserve">  </v>
      </c>
      <c r="AE81" s="563" t="str">
        <f>IFERROR(INDEX('V6'!C$300:C$400,MATCH("*"&amp;L81&amp;"*",'V6'!B$300:B$400,0)),"  ")</f>
        <v xml:space="preserve">  </v>
      </c>
      <c r="AF81" s="563" t="str">
        <f>IFERROR(INDEX('V7'!C$300:C$400,MATCH("*"&amp;L81&amp;"*",'V7'!B$300:B$400,0)),"  ")</f>
        <v xml:space="preserve">  </v>
      </c>
      <c r="AG81" s="563" t="str">
        <f>IFERROR(INDEX('V8'!C$300:C$400,MATCH("*"&amp;L81&amp;"*",'V8'!B$300:B$400,0)),"  ")</f>
        <v xml:space="preserve">  </v>
      </c>
      <c r="AH81" s="563" t="str">
        <f>IFERROR(INDEX('V9'!C$300:C$400,MATCH("*"&amp;L81&amp;"*",'V9'!B$300:B$400,0)),"  ")</f>
        <v xml:space="preserve">  </v>
      </c>
      <c r="AI81" s="563" t="str">
        <f>IFERROR(INDEX('V10'!C$300:C$400,MATCH("*"&amp;L81&amp;"*",'V10'!B$300:B$400,0)),"  ")</f>
        <v xml:space="preserve">  </v>
      </c>
      <c r="AJ81" s="564" t="str">
        <f t="shared" si="106"/>
        <v/>
      </c>
      <c r="AK81" s="565">
        <f t="shared" si="107"/>
        <v>0</v>
      </c>
      <c r="AL81" s="566" t="str">
        <f t="shared" si="108"/>
        <v/>
      </c>
      <c r="AM81" s="567" t="str">
        <f>IFERROR(INDEX(#REF!,MATCH("*"&amp;L81&amp;"*",#REF!,0)),"  ")</f>
        <v xml:space="preserve">  </v>
      </c>
      <c r="AN81" s="568">
        <f t="shared" si="109"/>
        <v>0</v>
      </c>
      <c r="AO81" s="469">
        <f t="shared" si="110"/>
        <v>0</v>
      </c>
      <c r="AP81" s="469">
        <f t="shared" si="111"/>
        <v>0</v>
      </c>
      <c r="AQ81" s="569"/>
      <c r="AR81" s="569"/>
      <c r="AS81" s="569"/>
      <c r="AT81" s="570">
        <f t="shared" si="112"/>
        <v>1E-4</v>
      </c>
      <c r="AU81" s="571">
        <f t="shared" si="113"/>
        <v>1E-4</v>
      </c>
      <c r="AV81" s="571">
        <f t="shared" si="114"/>
        <v>2.0000000000000001E-4</v>
      </c>
      <c r="AW81" s="571">
        <f t="shared" si="115"/>
        <v>2.9999999999999997E-4</v>
      </c>
      <c r="AX81" s="571">
        <f t="shared" si="116"/>
        <v>4.0000000000000002E-4</v>
      </c>
      <c r="AY81" s="571">
        <f t="shared" si="117"/>
        <v>5.0000000000000001E-4</v>
      </c>
      <c r="AZ81" s="571">
        <f t="shared" si="118"/>
        <v>5.9999999999999995E-4</v>
      </c>
      <c r="BA81" s="571">
        <f t="shared" si="119"/>
        <v>6.9999999999999999E-4</v>
      </c>
      <c r="BB81" s="571">
        <f t="shared" si="120"/>
        <v>8.0000000000000004E-4</v>
      </c>
      <c r="BC81" s="571">
        <f t="shared" si="121"/>
        <v>8.9999999999999998E-4</v>
      </c>
      <c r="BD81" s="571">
        <f t="shared" si="122"/>
        <v>1E-3</v>
      </c>
      <c r="BE81" s="569"/>
      <c r="BF81" s="569"/>
      <c r="BG81" s="569"/>
      <c r="BH81" s="569"/>
      <c r="BI81" s="377" t="e">
        <f t="shared" si="123"/>
        <v>#VALUE!</v>
      </c>
      <c r="BJ81" s="377" t="e">
        <f t="shared" si="124"/>
        <v>#VALUE!</v>
      </c>
      <c r="BK81" s="377" t="e">
        <f t="shared" si="125"/>
        <v>#VALUE!</v>
      </c>
      <c r="BL81" s="377" t="e">
        <f t="shared" si="126"/>
        <v>#VALUE!</v>
      </c>
      <c r="BM81" s="377" t="e">
        <f t="shared" si="127"/>
        <v>#VALUE!</v>
      </c>
      <c r="BN81" s="377" t="e">
        <f t="shared" si="128"/>
        <v>#VALUE!</v>
      </c>
      <c r="BO81" s="377" t="e">
        <f t="shared" si="129"/>
        <v>#VALUE!</v>
      </c>
      <c r="BP81" s="377" t="e">
        <f t="shared" si="130"/>
        <v>#VALUE!</v>
      </c>
      <c r="BQ81" s="377" t="e">
        <f t="shared" si="131"/>
        <v>#VALUE!</v>
      </c>
      <c r="BR81" s="377" t="e">
        <f t="shared" si="132"/>
        <v>#VALUE!</v>
      </c>
    </row>
    <row r="82" spans="1:70" ht="12.75" hidden="1" customHeight="1" x14ac:dyDescent="0.2">
      <c r="A82" s="484" t="str">
        <f t="shared" si="89"/>
        <v/>
      </c>
      <c r="B82" s="485">
        <f t="shared" si="90"/>
        <v>114</v>
      </c>
      <c r="C82" s="486" t="str">
        <f t="shared" si="91"/>
        <v/>
      </c>
      <c r="D82" s="487">
        <f t="shared" si="92"/>
        <v>114</v>
      </c>
      <c r="E82" s="488" t="str">
        <f t="shared" si="93"/>
        <v/>
      </c>
      <c r="F82" s="489">
        <f t="shared" si="94"/>
        <v>114</v>
      </c>
      <c r="G82" s="490" t="str">
        <f t="shared" si="95"/>
        <v/>
      </c>
      <c r="H82" s="489">
        <f t="shared" si="96"/>
        <v>-886</v>
      </c>
      <c r="I82" s="491" t="str">
        <f t="shared" si="97"/>
        <v/>
      </c>
      <c r="J82" s="554">
        <f t="shared" si="98"/>
        <v>-886</v>
      </c>
      <c r="K82" s="526" t="str">
        <f t="shared" si="99"/>
        <v/>
      </c>
      <c r="L82" s="585" t="s">
        <v>223</v>
      </c>
      <c r="M82" s="556"/>
      <c r="N82" s="557" t="str">
        <f>IF(M82="","m","")</f>
        <v>m</v>
      </c>
      <c r="O82" s="558"/>
      <c r="P82" s="559" t="s">
        <v>269</v>
      </c>
      <c r="Q82" s="560" t="s">
        <v>148</v>
      </c>
      <c r="R82" s="539">
        <f>(IF(COUNT(Z82,AA82,AB82,AC82,AD82,AE82,AF82,AG82,AH82,AI82)&lt;10,SUM(Z82,AA82,AB82,AC82,AD82,AE82,AF82,AG82,AH82,AI82),SUM(LARGE((Z82,AA82,AB82,AC82,AD82,AE82,AF82,AG82,AH82,AI82),{1;2;3;4;5;6;7;8;9}))))</f>
        <v>0</v>
      </c>
      <c r="S82" s="561" t="str">
        <f>INDEX([1]ETAPP!B$1:B$32,MATCH(COUNTIF(BI82:BR82,1),[1]ETAPP!A$1:A$32,0))&amp;INDEX([1]ETAPP!B$1:B$32,MATCH(COUNTIF(BI82:BR82,2),[1]ETAPP!A$1:A$32,0))&amp;INDEX([1]ETAPP!B$1:B$32,MATCH(COUNTIF(BI82:BR82,3),[1]ETAPP!A$1:A$32,0))&amp;INDEX([1]ETAPP!B$1:B$32,MATCH(COUNTIF(BI82:BR82,4),[1]ETAPP!A$1:A$32,0))&amp;INDEX([1]ETAPP!B$1:B$32,MATCH(COUNTIF(BI82:BR82,5),[1]ETAPP!A$1:A$32,0))&amp;INDEX([1]ETAPP!B$1:B$32,MATCH(COUNTIF(BI82:BR82,6),[1]ETAPP!A$1:A$32,0))&amp;INDEX([1]ETAPP!B$1:B$32,MATCH(COUNTIF(BI82:BR82,7),[1]ETAPP!A$1:A$32,0))&amp;INDEX([1]ETAPP!B$1:B$32,MATCH(COUNTIF(BI82:BR82,8),[1]ETAPP!A$1:A$32,0))&amp;INDEX([1]ETAPP!B$1:B$32,MATCH(COUNTIF(BI82:BR82,9),[1]ETAPP!A$1:A$32,0))&amp;INDEX([1]ETAPP!B$1:B$32,MATCH(COUNTIF(BI82:BR82,10),[1]ETAPP!A$1:A$32,0))&amp;INDEX([1]ETAPP!B$1:B$32,MATCH(COUNTIF(BI82:BR82,11),[1]ETAPP!A$1:A$32,0))&amp;INDEX([1]ETAPP!B$1:B$32,MATCH(COUNTIF(BI82:BR82,12),[1]ETAPP!A$1:A$32,0))&amp;INDEX([1]ETAPP!B$1:B$32,MATCH(COUNTIF(BI82:BR82,13),[1]ETAPP!A$1:A$32,0))&amp;INDEX([1]ETAPP!B$1:B$32,MATCH(COUNTIF(BI82:BR82,14),[1]ETAPP!A$1:A$32,0))&amp;INDEX([1]ETAPP!B$1:B$32,MATCH(COUNTIF(BI82:BR82,15),[1]ETAPP!A$1:A$32,0))&amp;INDEX([1]ETAPP!B$1:B$32,MATCH(COUNTIF(BI82:BR82,16),[1]ETAPP!A$1:A$32,0))&amp;INDEX([1]ETAPP!B$1:B$32,MATCH(COUNTIF(BI82:BR82,17),[1]ETAPP!A$1:A$32,0))&amp;INDEX([1]ETAPP!B$1:B$32,MATCH(COUNTIF(BI82:BR82,18),[1]ETAPP!A$1:A$32,0))&amp;INDEX([1]ETAPP!B$1:B$32,MATCH(COUNTIF(BI82:BR82,19),[1]ETAPP!A$1:A$32,0))&amp;INDEX([1]ETAPP!B$1:B$32,MATCH(COUNTIF(BI82:BR82,20),[1]ETAPP!A$1:A$32,0))&amp;INDEX([1]ETAPP!B$1:B$32,MATCH(COUNTIF(BI82:BR82,21),[1]ETAPP!A$1:A$32,0))</f>
        <v>000000000000000000000</v>
      </c>
      <c r="T82" s="561" t="str">
        <f t="shared" si="100"/>
        <v>000,0-000000000000000000000</v>
      </c>
      <c r="U82" s="561">
        <f t="shared" si="101"/>
        <v>114</v>
      </c>
      <c r="V82" s="561">
        <f t="shared" si="102"/>
        <v>76</v>
      </c>
      <c r="W82" s="561" t="str">
        <f t="shared" si="103"/>
        <v>000,0-000000000000000000000-076</v>
      </c>
      <c r="X82" s="561">
        <f t="shared" si="104"/>
        <v>76</v>
      </c>
      <c r="Y82" s="562">
        <f t="shared" si="105"/>
        <v>39</v>
      </c>
      <c r="Z82" s="563" t="str">
        <f>IFERROR(INDEX('V1'!C$300:C$400,MATCH("*"&amp;L82&amp;"*",'V1'!B$300:B$400,0)),"  ")</f>
        <v xml:space="preserve">  </v>
      </c>
      <c r="AA82" s="563" t="str">
        <f>IFERROR(INDEX('V2'!C$300:C$400,MATCH("*"&amp;L82&amp;"*",'V2'!B$300:B$400,0)),"  ")</f>
        <v xml:space="preserve">  </v>
      </c>
      <c r="AB82" s="563" t="str">
        <f>IFERROR(INDEX('V3'!C$300:C$400,MATCH("*"&amp;L82&amp;"*",'V3'!B$300:B$400,0)),"  ")</f>
        <v xml:space="preserve">  </v>
      </c>
      <c r="AC82" s="563" t="str">
        <f>IFERROR(INDEX('V4'!C$300:C$400,MATCH("*"&amp;L82&amp;"*",'V4'!B$300:B$400,0)),"  ")</f>
        <v xml:space="preserve">  </v>
      </c>
      <c r="AD82" s="563" t="str">
        <f>IFERROR(INDEX('V5'!C$300:C$400,MATCH("*"&amp;L82&amp;"*",'V5'!B$300:B$400,0)),"  ")</f>
        <v xml:space="preserve">  </v>
      </c>
      <c r="AE82" s="563" t="str">
        <f>IFERROR(INDEX('V6'!C$300:C$400,MATCH("*"&amp;L82&amp;"*",'V6'!B$300:B$400,0)),"  ")</f>
        <v xml:space="preserve">  </v>
      </c>
      <c r="AF82" s="563" t="str">
        <f>IFERROR(INDEX('V7'!C$300:C$400,MATCH("*"&amp;L82&amp;"*",'V7'!B$300:B$400,0)),"  ")</f>
        <v xml:space="preserve">  </v>
      </c>
      <c r="AG82" s="563" t="str">
        <f>IFERROR(INDEX('V8'!C$300:C$400,MATCH("*"&amp;L82&amp;"*",'V8'!B$300:B$400,0)),"  ")</f>
        <v xml:space="preserve">  </v>
      </c>
      <c r="AH82" s="563" t="str">
        <f>IFERROR(INDEX('V9'!C$300:C$400,MATCH("*"&amp;L82&amp;"*",'V9'!B$300:B$400,0)),"  ")</f>
        <v xml:space="preserve">  </v>
      </c>
      <c r="AI82" s="563" t="str">
        <f>IFERROR(INDEX('V10'!C$300:C$400,MATCH("*"&amp;L82&amp;"*",'V10'!B$300:B$400,0)),"  ")</f>
        <v xml:space="preserve">  </v>
      </c>
      <c r="AJ82" s="564" t="str">
        <f t="shared" si="106"/>
        <v/>
      </c>
      <c r="AK82" s="565">
        <f t="shared" si="107"/>
        <v>0</v>
      </c>
      <c r="AL82" s="566" t="str">
        <f t="shared" si="108"/>
        <v/>
      </c>
      <c r="AM82" s="567" t="str">
        <f>IFERROR(INDEX(#REF!,MATCH("*"&amp;L82&amp;"*",#REF!,0)),"  ")</f>
        <v xml:space="preserve">  </v>
      </c>
      <c r="AN82" s="568">
        <f t="shared" si="109"/>
        <v>0</v>
      </c>
      <c r="AO82" s="469">
        <f t="shared" si="110"/>
        <v>0</v>
      </c>
      <c r="AP82" s="469">
        <f t="shared" si="111"/>
        <v>0</v>
      </c>
      <c r="AQ82" s="569"/>
      <c r="AR82" s="569"/>
      <c r="AS82" s="569"/>
      <c r="AT82" s="570">
        <f t="shared" si="112"/>
        <v>1E-4</v>
      </c>
      <c r="AU82" s="571">
        <f t="shared" si="113"/>
        <v>1E-4</v>
      </c>
      <c r="AV82" s="571">
        <f t="shared" si="114"/>
        <v>2.0000000000000001E-4</v>
      </c>
      <c r="AW82" s="571">
        <f t="shared" si="115"/>
        <v>2.9999999999999997E-4</v>
      </c>
      <c r="AX82" s="571">
        <f t="shared" si="116"/>
        <v>4.0000000000000002E-4</v>
      </c>
      <c r="AY82" s="571">
        <f t="shared" si="117"/>
        <v>5.0000000000000001E-4</v>
      </c>
      <c r="AZ82" s="571">
        <f t="shared" si="118"/>
        <v>5.9999999999999995E-4</v>
      </c>
      <c r="BA82" s="571">
        <f t="shared" si="119"/>
        <v>6.9999999999999999E-4</v>
      </c>
      <c r="BB82" s="571">
        <f t="shared" si="120"/>
        <v>8.0000000000000004E-4</v>
      </c>
      <c r="BC82" s="571">
        <f t="shared" si="121"/>
        <v>8.9999999999999998E-4</v>
      </c>
      <c r="BD82" s="571">
        <f t="shared" si="122"/>
        <v>1E-3</v>
      </c>
      <c r="BE82" s="569"/>
      <c r="BF82" s="569"/>
      <c r="BG82" s="569"/>
      <c r="BH82" s="569"/>
      <c r="BI82" s="377" t="e">
        <f t="shared" si="123"/>
        <v>#VALUE!</v>
      </c>
      <c r="BJ82" s="377" t="e">
        <f t="shared" si="124"/>
        <v>#VALUE!</v>
      </c>
      <c r="BK82" s="377" t="e">
        <f t="shared" si="125"/>
        <v>#VALUE!</v>
      </c>
      <c r="BL82" s="377" t="e">
        <f t="shared" si="126"/>
        <v>#VALUE!</v>
      </c>
      <c r="BM82" s="377" t="e">
        <f t="shared" si="127"/>
        <v>#VALUE!</v>
      </c>
      <c r="BN82" s="377" t="e">
        <f t="shared" si="128"/>
        <v>#VALUE!</v>
      </c>
      <c r="BO82" s="377" t="e">
        <f t="shared" si="129"/>
        <v>#VALUE!</v>
      </c>
      <c r="BP82" s="377" t="e">
        <f t="shared" si="130"/>
        <v>#VALUE!</v>
      </c>
      <c r="BQ82" s="377" t="e">
        <f t="shared" si="131"/>
        <v>#VALUE!</v>
      </c>
      <c r="BR82" s="377" t="e">
        <f t="shared" si="132"/>
        <v>#VALUE!</v>
      </c>
    </row>
    <row r="83" spans="1:70" ht="12.75" hidden="1" customHeight="1" x14ac:dyDescent="0.2">
      <c r="A83" s="484" t="str">
        <f t="shared" si="89"/>
        <v/>
      </c>
      <c r="B83" s="485">
        <f t="shared" si="90"/>
        <v>114</v>
      </c>
      <c r="C83" s="486" t="str">
        <f t="shared" si="91"/>
        <v/>
      </c>
      <c r="D83" s="487">
        <f t="shared" si="92"/>
        <v>114</v>
      </c>
      <c r="E83" s="488" t="str">
        <f t="shared" si="93"/>
        <v/>
      </c>
      <c r="F83" s="489">
        <f t="shared" si="94"/>
        <v>-886</v>
      </c>
      <c r="G83" s="490" t="str">
        <f t="shared" si="95"/>
        <v/>
      </c>
      <c r="H83" s="489">
        <f t="shared" si="96"/>
        <v>114</v>
      </c>
      <c r="I83" s="491" t="str">
        <f t="shared" si="97"/>
        <v/>
      </c>
      <c r="J83" s="554">
        <f t="shared" si="98"/>
        <v>-886</v>
      </c>
      <c r="K83" s="526" t="str">
        <f t="shared" si="99"/>
        <v/>
      </c>
      <c r="L83" s="572" t="s">
        <v>205</v>
      </c>
      <c r="M83" s="556" t="s">
        <v>170</v>
      </c>
      <c r="N83" s="557" t="str">
        <f>IF(M83="","m","")</f>
        <v/>
      </c>
      <c r="O83" s="558"/>
      <c r="P83" s="559" t="s">
        <v>269</v>
      </c>
      <c r="Q83" s="560" t="s">
        <v>148</v>
      </c>
      <c r="R83" s="539">
        <f>(IF(COUNT(Z83,AA83,AB83,AC83,AD83,AE83,AF83,AG83,AH83,AI83)&lt;10,SUM(Z83,AA83,AB83,AC83,AD83,AE83,AF83,AG83,AH83,AI83),SUM(LARGE((Z83,AA83,AB83,AC83,AD83,AE83,AF83,AG83,AH83,AI83),{1;2;3;4;5;6;7;8;9}))))</f>
        <v>0</v>
      </c>
      <c r="S83" s="561" t="str">
        <f>INDEX([1]ETAPP!B$1:B$32,MATCH(COUNTIF(BI83:BR83,1),[1]ETAPP!A$1:A$32,0))&amp;INDEX([1]ETAPP!B$1:B$32,MATCH(COUNTIF(BI83:BR83,2),[1]ETAPP!A$1:A$32,0))&amp;INDEX([1]ETAPP!B$1:B$32,MATCH(COUNTIF(BI83:BR83,3),[1]ETAPP!A$1:A$32,0))&amp;INDEX([1]ETAPP!B$1:B$32,MATCH(COUNTIF(BI83:BR83,4),[1]ETAPP!A$1:A$32,0))&amp;INDEX([1]ETAPP!B$1:B$32,MATCH(COUNTIF(BI83:BR83,5),[1]ETAPP!A$1:A$32,0))&amp;INDEX([1]ETAPP!B$1:B$32,MATCH(COUNTIF(BI83:BR83,6),[1]ETAPP!A$1:A$32,0))&amp;INDEX([1]ETAPP!B$1:B$32,MATCH(COUNTIF(BI83:BR83,7),[1]ETAPP!A$1:A$32,0))&amp;INDEX([1]ETAPP!B$1:B$32,MATCH(COUNTIF(BI83:BR83,8),[1]ETAPP!A$1:A$32,0))&amp;INDEX([1]ETAPP!B$1:B$32,MATCH(COUNTIF(BI83:BR83,9),[1]ETAPP!A$1:A$32,0))&amp;INDEX([1]ETAPP!B$1:B$32,MATCH(COUNTIF(BI83:BR83,10),[1]ETAPP!A$1:A$32,0))&amp;INDEX([1]ETAPP!B$1:B$32,MATCH(COUNTIF(BI83:BR83,11),[1]ETAPP!A$1:A$32,0))&amp;INDEX([1]ETAPP!B$1:B$32,MATCH(COUNTIF(BI83:BR83,12),[1]ETAPP!A$1:A$32,0))&amp;INDEX([1]ETAPP!B$1:B$32,MATCH(COUNTIF(BI83:BR83,13),[1]ETAPP!A$1:A$32,0))&amp;INDEX([1]ETAPP!B$1:B$32,MATCH(COUNTIF(BI83:BR83,14),[1]ETAPP!A$1:A$32,0))&amp;INDEX([1]ETAPP!B$1:B$32,MATCH(COUNTIF(BI83:BR83,15),[1]ETAPP!A$1:A$32,0))&amp;INDEX([1]ETAPP!B$1:B$32,MATCH(COUNTIF(BI83:BR83,16),[1]ETAPP!A$1:A$32,0))&amp;INDEX([1]ETAPP!B$1:B$32,MATCH(COUNTIF(BI83:BR83,17),[1]ETAPP!A$1:A$32,0))&amp;INDEX([1]ETAPP!B$1:B$32,MATCH(COUNTIF(BI83:BR83,18),[1]ETAPP!A$1:A$32,0))&amp;INDEX([1]ETAPP!B$1:B$32,MATCH(COUNTIF(BI83:BR83,19),[1]ETAPP!A$1:A$32,0))&amp;INDEX([1]ETAPP!B$1:B$32,MATCH(COUNTIF(BI83:BR83,20),[1]ETAPP!A$1:A$32,0))&amp;INDEX([1]ETAPP!B$1:B$32,MATCH(COUNTIF(BI83:BR83,21),[1]ETAPP!A$1:A$32,0))</f>
        <v>000000000000000000000</v>
      </c>
      <c r="T83" s="561" t="str">
        <f t="shared" si="100"/>
        <v>000,0-000000000000000000000</v>
      </c>
      <c r="U83" s="561">
        <f t="shared" si="101"/>
        <v>114</v>
      </c>
      <c r="V83" s="561">
        <f t="shared" si="102"/>
        <v>74</v>
      </c>
      <c r="W83" s="561" t="str">
        <f t="shared" si="103"/>
        <v>000,0-000000000000000000000-074</v>
      </c>
      <c r="X83" s="561">
        <f t="shared" si="104"/>
        <v>77</v>
      </c>
      <c r="Y83" s="562">
        <f t="shared" si="105"/>
        <v>38</v>
      </c>
      <c r="Z83" s="563" t="str">
        <f>IFERROR(INDEX('V1'!C$300:C$400,MATCH("*"&amp;L83&amp;"*",'V1'!B$300:B$400,0)),"  ")</f>
        <v xml:space="preserve">  </v>
      </c>
      <c r="AA83" s="563" t="str">
        <f>IFERROR(INDEX('V2'!C$300:C$400,MATCH("*"&amp;L83&amp;"*",'V2'!B$300:B$400,0)),"  ")</f>
        <v xml:space="preserve">  </v>
      </c>
      <c r="AB83" s="563" t="str">
        <f>IFERROR(INDEX('V3'!C$300:C$400,MATCH("*"&amp;L83&amp;"*",'V3'!B$300:B$400,0)),"  ")</f>
        <v xml:space="preserve">  </v>
      </c>
      <c r="AC83" s="563" t="str">
        <f>IFERROR(INDEX('V4'!C$300:C$400,MATCH("*"&amp;L83&amp;"*",'V4'!B$300:B$400,0)),"  ")</f>
        <v xml:space="preserve">  </v>
      </c>
      <c r="AD83" s="563" t="str">
        <f>IFERROR(INDEX('V5'!C$300:C$400,MATCH("*"&amp;L83&amp;"*",'V5'!B$300:B$400,0)),"  ")</f>
        <v xml:space="preserve">  </v>
      </c>
      <c r="AE83" s="563" t="str">
        <f>IFERROR(INDEX('V6'!C$300:C$400,MATCH("*"&amp;L83&amp;"*",'V6'!B$300:B$400,0)),"  ")</f>
        <v xml:space="preserve">  </v>
      </c>
      <c r="AF83" s="563" t="str">
        <f>IFERROR(INDEX('V7'!C$300:C$400,MATCH("*"&amp;L83&amp;"*",'V7'!B$300:B$400,0)),"  ")</f>
        <v xml:space="preserve">  </v>
      </c>
      <c r="AG83" s="563" t="str">
        <f>IFERROR(INDEX('V8'!C$300:C$400,MATCH("*"&amp;L83&amp;"*",'V8'!B$300:B$400,0)),"  ")</f>
        <v xml:space="preserve">  </v>
      </c>
      <c r="AH83" s="563" t="str">
        <f>IFERROR(INDEX('V9'!C$300:C$400,MATCH("*"&amp;L83&amp;"*",'V9'!B$300:B$400,0)),"  ")</f>
        <v xml:space="preserve">  </v>
      </c>
      <c r="AI83" s="563" t="str">
        <f>IFERROR(INDEX('V10'!C$300:C$400,MATCH("*"&amp;L83&amp;"*",'V10'!B$300:B$400,0)),"  ")</f>
        <v xml:space="preserve">  </v>
      </c>
      <c r="AJ83" s="564" t="str">
        <f t="shared" si="106"/>
        <v/>
      </c>
      <c r="AK83" s="565">
        <f t="shared" si="107"/>
        <v>0</v>
      </c>
      <c r="AL83" s="566" t="str">
        <f t="shared" si="108"/>
        <v/>
      </c>
      <c r="AM83" s="567" t="str">
        <f>IFERROR(INDEX(#REF!,MATCH("*"&amp;L83&amp;"*",#REF!,0)),"  ")</f>
        <v xml:space="preserve">  </v>
      </c>
      <c r="AN83" s="568">
        <f t="shared" si="109"/>
        <v>0</v>
      </c>
      <c r="AO83" s="469">
        <f t="shared" si="110"/>
        <v>0</v>
      </c>
      <c r="AP83" s="469">
        <f t="shared" si="111"/>
        <v>0</v>
      </c>
      <c r="AQ83" s="569"/>
      <c r="AR83" s="569"/>
      <c r="AS83" s="569"/>
      <c r="AT83" s="570">
        <f t="shared" si="112"/>
        <v>1E-4</v>
      </c>
      <c r="AU83" s="571">
        <f t="shared" si="113"/>
        <v>1E-4</v>
      </c>
      <c r="AV83" s="571">
        <f t="shared" si="114"/>
        <v>2.0000000000000001E-4</v>
      </c>
      <c r="AW83" s="571">
        <f t="shared" si="115"/>
        <v>2.9999999999999997E-4</v>
      </c>
      <c r="AX83" s="571">
        <f t="shared" si="116"/>
        <v>4.0000000000000002E-4</v>
      </c>
      <c r="AY83" s="571">
        <f t="shared" si="117"/>
        <v>5.0000000000000001E-4</v>
      </c>
      <c r="AZ83" s="571">
        <f t="shared" si="118"/>
        <v>5.9999999999999995E-4</v>
      </c>
      <c r="BA83" s="571">
        <f t="shared" si="119"/>
        <v>6.9999999999999999E-4</v>
      </c>
      <c r="BB83" s="571">
        <f t="shared" si="120"/>
        <v>8.0000000000000004E-4</v>
      </c>
      <c r="BC83" s="571">
        <f t="shared" si="121"/>
        <v>8.9999999999999998E-4</v>
      </c>
      <c r="BD83" s="571">
        <f t="shared" si="122"/>
        <v>1E-3</v>
      </c>
      <c r="BE83" s="569"/>
      <c r="BF83" s="569"/>
      <c r="BG83" s="569"/>
      <c r="BH83" s="569"/>
      <c r="BI83" s="377" t="e">
        <f t="shared" si="123"/>
        <v>#VALUE!</v>
      </c>
      <c r="BJ83" s="377" t="e">
        <f t="shared" si="124"/>
        <v>#VALUE!</v>
      </c>
      <c r="BK83" s="377" t="e">
        <f t="shared" si="125"/>
        <v>#VALUE!</v>
      </c>
      <c r="BL83" s="377" t="e">
        <f t="shared" si="126"/>
        <v>#VALUE!</v>
      </c>
      <c r="BM83" s="377" t="e">
        <f t="shared" si="127"/>
        <v>#VALUE!</v>
      </c>
      <c r="BN83" s="377" t="e">
        <f t="shared" si="128"/>
        <v>#VALUE!</v>
      </c>
      <c r="BO83" s="377" t="e">
        <f t="shared" si="129"/>
        <v>#VALUE!</v>
      </c>
      <c r="BP83" s="377" t="e">
        <f t="shared" si="130"/>
        <v>#VALUE!</v>
      </c>
      <c r="BQ83" s="377" t="e">
        <f t="shared" si="131"/>
        <v>#VALUE!</v>
      </c>
      <c r="BR83" s="377" t="e">
        <f t="shared" si="132"/>
        <v>#VALUE!</v>
      </c>
    </row>
    <row r="84" spans="1:70" ht="12.75" hidden="1" customHeight="1" x14ac:dyDescent="0.2">
      <c r="A84" s="484" t="str">
        <f t="shared" si="89"/>
        <v/>
      </c>
      <c r="B84" s="485">
        <f t="shared" si="90"/>
        <v>-886</v>
      </c>
      <c r="C84" s="486" t="str">
        <f t="shared" si="91"/>
        <v/>
      </c>
      <c r="D84" s="487">
        <f t="shared" si="92"/>
        <v>-886</v>
      </c>
      <c r="E84" s="488" t="str">
        <f t="shared" si="93"/>
        <v/>
      </c>
      <c r="F84" s="489">
        <f t="shared" si="94"/>
        <v>114</v>
      </c>
      <c r="G84" s="490" t="str">
        <f t="shared" si="95"/>
        <v/>
      </c>
      <c r="H84" s="489">
        <f t="shared" si="96"/>
        <v>-886</v>
      </c>
      <c r="I84" s="491" t="str">
        <f t="shared" si="97"/>
        <v/>
      </c>
      <c r="J84" s="554">
        <f t="shared" si="98"/>
        <v>-886</v>
      </c>
      <c r="K84" s="526" t="str">
        <f t="shared" si="99"/>
        <v/>
      </c>
      <c r="L84" s="585" t="s">
        <v>224</v>
      </c>
      <c r="M84" s="556"/>
      <c r="N84" s="557" t="str">
        <f>IF(M84="","m","")</f>
        <v>m</v>
      </c>
      <c r="O84" s="558"/>
      <c r="P84" s="559"/>
      <c r="Q84" s="560"/>
      <c r="R84" s="539">
        <f>(IF(COUNT(Z84,AA84,AB84,AC84,AD84,AE84,AF84,AG84,AH84,AI84)&lt;10,SUM(Z84,AA84,AB84,AC84,AD84,AE84,AF84,AG84,AH84,AI84),SUM(LARGE((Z84,AA84,AB84,AC84,AD84,AE84,AF84,AG84,AH84,AI84),{1;2;3;4;5;6;7;8;9}))))</f>
        <v>0</v>
      </c>
      <c r="S84" s="561" t="str">
        <f>INDEX([1]ETAPP!B$1:B$32,MATCH(COUNTIF(BI84:BR84,1),[1]ETAPP!A$1:A$32,0))&amp;INDEX([1]ETAPP!B$1:B$32,MATCH(COUNTIF(BI84:BR84,2),[1]ETAPP!A$1:A$32,0))&amp;INDEX([1]ETAPP!B$1:B$32,MATCH(COUNTIF(BI84:BR84,3),[1]ETAPP!A$1:A$32,0))&amp;INDEX([1]ETAPP!B$1:B$32,MATCH(COUNTIF(BI84:BR84,4),[1]ETAPP!A$1:A$32,0))&amp;INDEX([1]ETAPP!B$1:B$32,MATCH(COUNTIF(BI84:BR84,5),[1]ETAPP!A$1:A$32,0))&amp;INDEX([1]ETAPP!B$1:B$32,MATCH(COUNTIF(BI84:BR84,6),[1]ETAPP!A$1:A$32,0))&amp;INDEX([1]ETAPP!B$1:B$32,MATCH(COUNTIF(BI84:BR84,7),[1]ETAPP!A$1:A$32,0))&amp;INDEX([1]ETAPP!B$1:B$32,MATCH(COUNTIF(BI84:BR84,8),[1]ETAPP!A$1:A$32,0))&amp;INDEX([1]ETAPP!B$1:B$32,MATCH(COUNTIF(BI84:BR84,9),[1]ETAPP!A$1:A$32,0))&amp;INDEX([1]ETAPP!B$1:B$32,MATCH(COUNTIF(BI84:BR84,10),[1]ETAPP!A$1:A$32,0))&amp;INDEX([1]ETAPP!B$1:B$32,MATCH(COUNTIF(BI84:BR84,11),[1]ETAPP!A$1:A$32,0))&amp;INDEX([1]ETAPP!B$1:B$32,MATCH(COUNTIF(BI84:BR84,12),[1]ETAPP!A$1:A$32,0))&amp;INDEX([1]ETAPP!B$1:B$32,MATCH(COUNTIF(BI84:BR84,13),[1]ETAPP!A$1:A$32,0))&amp;INDEX([1]ETAPP!B$1:B$32,MATCH(COUNTIF(BI84:BR84,14),[1]ETAPP!A$1:A$32,0))&amp;INDEX([1]ETAPP!B$1:B$32,MATCH(COUNTIF(BI84:BR84,15),[1]ETAPP!A$1:A$32,0))&amp;INDEX([1]ETAPP!B$1:B$32,MATCH(COUNTIF(BI84:BR84,16),[1]ETAPP!A$1:A$32,0))&amp;INDEX([1]ETAPP!B$1:B$32,MATCH(COUNTIF(BI84:BR84,17),[1]ETAPP!A$1:A$32,0))&amp;INDEX([1]ETAPP!B$1:B$32,MATCH(COUNTIF(BI84:BR84,18),[1]ETAPP!A$1:A$32,0))&amp;INDEX([1]ETAPP!B$1:B$32,MATCH(COUNTIF(BI84:BR84,19),[1]ETAPP!A$1:A$32,0))&amp;INDEX([1]ETAPP!B$1:B$32,MATCH(COUNTIF(BI84:BR84,20),[1]ETAPP!A$1:A$32,0))&amp;INDEX([1]ETAPP!B$1:B$32,MATCH(COUNTIF(BI84:BR84,21),[1]ETAPP!A$1:A$32,0))</f>
        <v>000000000000000000000</v>
      </c>
      <c r="T84" s="561" t="str">
        <f t="shared" si="100"/>
        <v>000,0-000000000000000000000</v>
      </c>
      <c r="U84" s="561">
        <f t="shared" si="101"/>
        <v>114</v>
      </c>
      <c r="V84" s="561">
        <f t="shared" si="102"/>
        <v>72</v>
      </c>
      <c r="W84" s="561" t="str">
        <f t="shared" si="103"/>
        <v>000,0-000000000000000000000-072</v>
      </c>
      <c r="X84" s="561">
        <f t="shared" si="104"/>
        <v>78</v>
      </c>
      <c r="Y84" s="562">
        <f t="shared" si="105"/>
        <v>37</v>
      </c>
      <c r="Z84" s="563" t="str">
        <f>IFERROR(INDEX('V1'!C$300:C$400,MATCH("*"&amp;L84&amp;"*",'V1'!B$300:B$400,0)),"  ")</f>
        <v xml:space="preserve">  </v>
      </c>
      <c r="AA84" s="563" t="str">
        <f>IFERROR(INDEX('V2'!C$300:C$400,MATCH("*"&amp;L84&amp;"*",'V2'!B$300:B$400,0)),"  ")</f>
        <v xml:space="preserve">  </v>
      </c>
      <c r="AB84" s="563" t="str">
        <f>IFERROR(INDEX('V3'!C$300:C$400,MATCH("*"&amp;L84&amp;"*",'V3'!B$300:B$400,0)),"  ")</f>
        <v xml:space="preserve">  </v>
      </c>
      <c r="AC84" s="563" t="str">
        <f>IFERROR(INDEX('V4'!C$300:C$400,MATCH("*"&amp;L84&amp;"*",'V4'!B$300:B$400,0)),"  ")</f>
        <v xml:space="preserve">  </v>
      </c>
      <c r="AD84" s="563" t="str">
        <f>IFERROR(INDEX('V5'!C$300:C$400,MATCH("*"&amp;L84&amp;"*",'V5'!B$300:B$400,0)),"  ")</f>
        <v xml:space="preserve">  </v>
      </c>
      <c r="AE84" s="563" t="str">
        <f>IFERROR(INDEX('V6'!C$300:C$400,MATCH("*"&amp;L84&amp;"*",'V6'!B$300:B$400,0)),"  ")</f>
        <v xml:space="preserve">  </v>
      </c>
      <c r="AF84" s="563" t="str">
        <f>IFERROR(INDEX('V7'!C$300:C$400,MATCH("*"&amp;L84&amp;"*",'V7'!B$300:B$400,0)),"  ")</f>
        <v xml:space="preserve">  </v>
      </c>
      <c r="AG84" s="563" t="str">
        <f>IFERROR(INDEX('V8'!C$300:C$400,MATCH("*"&amp;L84&amp;"*",'V8'!B$300:B$400,0)),"  ")</f>
        <v xml:space="preserve">  </v>
      </c>
      <c r="AH84" s="563" t="str">
        <f>IFERROR(INDEX('V9'!C$300:C$400,MATCH("*"&amp;L84&amp;"*",'V9'!B$300:B$400,0)),"  ")</f>
        <v xml:space="preserve">  </v>
      </c>
      <c r="AI84" s="563" t="str">
        <f>IFERROR(INDEX('V10'!C$300:C$400,MATCH("*"&amp;L84&amp;"*",'V10'!B$300:B$400,0)),"  ")</f>
        <v xml:space="preserve">  </v>
      </c>
      <c r="AJ84" s="564" t="str">
        <f t="shared" si="106"/>
        <v/>
      </c>
      <c r="AK84" s="565">
        <f t="shared" si="107"/>
        <v>0</v>
      </c>
      <c r="AL84" s="566" t="str">
        <f t="shared" si="108"/>
        <v/>
      </c>
      <c r="AM84" s="567" t="str">
        <f>IFERROR(INDEX(#REF!,MATCH("*"&amp;L84&amp;"*",#REF!,0)),"  ")</f>
        <v xml:space="preserve">  </v>
      </c>
      <c r="AN84" s="568">
        <f t="shared" si="109"/>
        <v>0</v>
      </c>
      <c r="AO84" s="469">
        <f t="shared" si="110"/>
        <v>0</v>
      </c>
      <c r="AP84" s="469">
        <f t="shared" si="111"/>
        <v>0</v>
      </c>
      <c r="AQ84" s="569"/>
      <c r="AR84" s="569"/>
      <c r="AS84" s="569"/>
      <c r="AT84" s="570">
        <f t="shared" si="112"/>
        <v>1E-4</v>
      </c>
      <c r="AU84" s="571">
        <f t="shared" si="113"/>
        <v>1E-4</v>
      </c>
      <c r="AV84" s="571">
        <f t="shared" si="114"/>
        <v>2.0000000000000001E-4</v>
      </c>
      <c r="AW84" s="571">
        <f t="shared" si="115"/>
        <v>2.9999999999999997E-4</v>
      </c>
      <c r="AX84" s="571">
        <f t="shared" si="116"/>
        <v>4.0000000000000002E-4</v>
      </c>
      <c r="AY84" s="571">
        <f t="shared" si="117"/>
        <v>5.0000000000000001E-4</v>
      </c>
      <c r="AZ84" s="571">
        <f t="shared" si="118"/>
        <v>5.9999999999999995E-4</v>
      </c>
      <c r="BA84" s="571">
        <f t="shared" si="119"/>
        <v>6.9999999999999999E-4</v>
      </c>
      <c r="BB84" s="571">
        <f t="shared" si="120"/>
        <v>8.0000000000000004E-4</v>
      </c>
      <c r="BC84" s="571">
        <f t="shared" si="121"/>
        <v>8.9999999999999998E-4</v>
      </c>
      <c r="BD84" s="571">
        <f t="shared" si="122"/>
        <v>1E-3</v>
      </c>
      <c r="BE84" s="569"/>
      <c r="BF84" s="569"/>
      <c r="BG84" s="569"/>
      <c r="BH84" s="569"/>
      <c r="BI84" s="377" t="e">
        <f t="shared" si="123"/>
        <v>#VALUE!</v>
      </c>
      <c r="BJ84" s="377" t="e">
        <f t="shared" si="124"/>
        <v>#VALUE!</v>
      </c>
      <c r="BK84" s="377" t="e">
        <f t="shared" si="125"/>
        <v>#VALUE!</v>
      </c>
      <c r="BL84" s="377" t="e">
        <f t="shared" si="126"/>
        <v>#VALUE!</v>
      </c>
      <c r="BM84" s="377" t="e">
        <f t="shared" si="127"/>
        <v>#VALUE!</v>
      </c>
      <c r="BN84" s="377" t="e">
        <f t="shared" si="128"/>
        <v>#VALUE!</v>
      </c>
      <c r="BO84" s="377" t="e">
        <f t="shared" si="129"/>
        <v>#VALUE!</v>
      </c>
      <c r="BP84" s="377" t="e">
        <f t="shared" si="130"/>
        <v>#VALUE!</v>
      </c>
      <c r="BQ84" s="377" t="e">
        <f t="shared" si="131"/>
        <v>#VALUE!</v>
      </c>
      <c r="BR84" s="377" t="e">
        <f t="shared" si="132"/>
        <v>#VALUE!</v>
      </c>
    </row>
    <row r="85" spans="1:70" ht="12.75" hidden="1" customHeight="1" x14ac:dyDescent="0.2">
      <c r="A85" s="484" t="str">
        <f t="shared" si="89"/>
        <v/>
      </c>
      <c r="B85" s="485">
        <f t="shared" si="90"/>
        <v>114</v>
      </c>
      <c r="C85" s="486" t="str">
        <f t="shared" si="91"/>
        <v/>
      </c>
      <c r="D85" s="487">
        <f t="shared" si="92"/>
        <v>-886</v>
      </c>
      <c r="E85" s="488" t="str">
        <f t="shared" si="93"/>
        <v/>
      </c>
      <c r="F85" s="489">
        <f t="shared" si="94"/>
        <v>114</v>
      </c>
      <c r="G85" s="490" t="str">
        <f t="shared" si="95"/>
        <v/>
      </c>
      <c r="H85" s="489">
        <f t="shared" si="96"/>
        <v>-886</v>
      </c>
      <c r="I85" s="491" t="str">
        <f t="shared" si="97"/>
        <v/>
      </c>
      <c r="J85" s="554">
        <f t="shared" si="98"/>
        <v>-886</v>
      </c>
      <c r="K85" s="526" t="str">
        <f t="shared" si="99"/>
        <v/>
      </c>
      <c r="L85" s="573" t="s">
        <v>226</v>
      </c>
      <c r="M85" s="556"/>
      <c r="N85" s="557" t="str">
        <f>IF(M85="","m","")</f>
        <v>m</v>
      </c>
      <c r="O85" s="558"/>
      <c r="P85" s="559"/>
      <c r="Q85" s="560" t="s">
        <v>148</v>
      </c>
      <c r="R85" s="539">
        <f>(IF(COUNT(Z85,AA85,AB85,AC85,AD85,AE85,AF85,AG85,AH85,AI85)&lt;10,SUM(Z85,AA85,AB85,AC85,AD85,AE85,AF85,AG85,AH85,AI85),SUM(LARGE((Z85,AA85,AB85,AC85,AD85,AE85,AF85,AG85,AH85,AI85),{1;2;3;4;5;6;7;8;9}))))</f>
        <v>0</v>
      </c>
      <c r="S85" s="561" t="str">
        <f>INDEX([1]ETAPP!B$1:B$32,MATCH(COUNTIF(BI85:BR85,1),[1]ETAPP!A$1:A$32,0))&amp;INDEX([1]ETAPP!B$1:B$32,MATCH(COUNTIF(BI85:BR85,2),[1]ETAPP!A$1:A$32,0))&amp;INDEX([1]ETAPP!B$1:B$32,MATCH(COUNTIF(BI85:BR85,3),[1]ETAPP!A$1:A$32,0))&amp;INDEX([1]ETAPP!B$1:B$32,MATCH(COUNTIF(BI85:BR85,4),[1]ETAPP!A$1:A$32,0))&amp;INDEX([1]ETAPP!B$1:B$32,MATCH(COUNTIF(BI85:BR85,5),[1]ETAPP!A$1:A$32,0))&amp;INDEX([1]ETAPP!B$1:B$32,MATCH(COUNTIF(BI85:BR85,6),[1]ETAPP!A$1:A$32,0))&amp;INDEX([1]ETAPP!B$1:B$32,MATCH(COUNTIF(BI85:BR85,7),[1]ETAPP!A$1:A$32,0))&amp;INDEX([1]ETAPP!B$1:B$32,MATCH(COUNTIF(BI85:BR85,8),[1]ETAPP!A$1:A$32,0))&amp;INDEX([1]ETAPP!B$1:B$32,MATCH(COUNTIF(BI85:BR85,9),[1]ETAPP!A$1:A$32,0))&amp;INDEX([1]ETAPP!B$1:B$32,MATCH(COUNTIF(BI85:BR85,10),[1]ETAPP!A$1:A$32,0))&amp;INDEX([1]ETAPP!B$1:B$32,MATCH(COUNTIF(BI85:BR85,11),[1]ETAPP!A$1:A$32,0))&amp;INDEX([1]ETAPP!B$1:B$32,MATCH(COUNTIF(BI85:BR85,12),[1]ETAPP!A$1:A$32,0))&amp;INDEX([1]ETAPP!B$1:B$32,MATCH(COUNTIF(BI85:BR85,13),[1]ETAPP!A$1:A$32,0))&amp;INDEX([1]ETAPP!B$1:B$32,MATCH(COUNTIF(BI85:BR85,14),[1]ETAPP!A$1:A$32,0))&amp;INDEX([1]ETAPP!B$1:B$32,MATCH(COUNTIF(BI85:BR85,15),[1]ETAPP!A$1:A$32,0))&amp;INDEX([1]ETAPP!B$1:B$32,MATCH(COUNTIF(BI85:BR85,16),[1]ETAPP!A$1:A$32,0))&amp;INDEX([1]ETAPP!B$1:B$32,MATCH(COUNTIF(BI85:BR85,17),[1]ETAPP!A$1:A$32,0))&amp;INDEX([1]ETAPP!B$1:B$32,MATCH(COUNTIF(BI85:BR85,18),[1]ETAPP!A$1:A$32,0))&amp;INDEX([1]ETAPP!B$1:B$32,MATCH(COUNTIF(BI85:BR85,19),[1]ETAPP!A$1:A$32,0))&amp;INDEX([1]ETAPP!B$1:B$32,MATCH(COUNTIF(BI85:BR85,20),[1]ETAPP!A$1:A$32,0))&amp;INDEX([1]ETAPP!B$1:B$32,MATCH(COUNTIF(BI85:BR85,21),[1]ETAPP!A$1:A$32,0))</f>
        <v>000000000000000000000</v>
      </c>
      <c r="T85" s="561" t="str">
        <f t="shared" si="100"/>
        <v>000,0-000000000000000000000</v>
      </c>
      <c r="U85" s="561">
        <f t="shared" si="101"/>
        <v>114</v>
      </c>
      <c r="V85" s="561">
        <f t="shared" si="102"/>
        <v>69</v>
      </c>
      <c r="W85" s="561" t="str">
        <f t="shared" si="103"/>
        <v>000,0-000000000000000000000-069</v>
      </c>
      <c r="X85" s="561">
        <f t="shared" si="104"/>
        <v>79</v>
      </c>
      <c r="Y85" s="562">
        <f t="shared" si="105"/>
        <v>36</v>
      </c>
      <c r="Z85" s="563" t="str">
        <f>IFERROR(INDEX('V1'!C$300:C$400,MATCH("*"&amp;L85&amp;"*",'V1'!B$300:B$400,0)),"  ")</f>
        <v xml:space="preserve">  </v>
      </c>
      <c r="AA85" s="563" t="str">
        <f>IFERROR(INDEX('V2'!C$300:C$400,MATCH("*"&amp;L85&amp;"*",'V2'!B$300:B$400,0)),"  ")</f>
        <v xml:space="preserve">  </v>
      </c>
      <c r="AB85" s="563" t="str">
        <f>IFERROR(INDEX('V3'!C$300:C$400,MATCH("*"&amp;L85&amp;"*",'V3'!B$300:B$400,0)),"  ")</f>
        <v xml:space="preserve">  </v>
      </c>
      <c r="AC85" s="563" t="str">
        <f>IFERROR(INDEX('V4'!C$300:C$400,MATCH("*"&amp;L85&amp;"*",'V4'!B$300:B$400,0)),"  ")</f>
        <v xml:space="preserve">  </v>
      </c>
      <c r="AD85" s="563" t="str">
        <f>IFERROR(INDEX('V5'!C$300:C$400,MATCH("*"&amp;L85&amp;"*",'V5'!B$300:B$400,0)),"  ")</f>
        <v xml:space="preserve">  </v>
      </c>
      <c r="AE85" s="563" t="str">
        <f>IFERROR(INDEX('V6'!C$300:C$400,MATCH("*"&amp;L85&amp;"*",'V6'!B$300:B$400,0)),"  ")</f>
        <v xml:space="preserve">  </v>
      </c>
      <c r="AF85" s="563" t="str">
        <f>IFERROR(INDEX('V7'!C$300:C$400,MATCH("*"&amp;L85&amp;"*",'V7'!B$300:B$400,0)),"  ")</f>
        <v xml:space="preserve">  </v>
      </c>
      <c r="AG85" s="563" t="str">
        <f>IFERROR(INDEX('V8'!C$300:C$400,MATCH("*"&amp;L85&amp;"*",'V8'!B$300:B$400,0)),"  ")</f>
        <v xml:space="preserve">  </v>
      </c>
      <c r="AH85" s="563" t="str">
        <f>IFERROR(INDEX('V9'!C$300:C$400,MATCH("*"&amp;L85&amp;"*",'V9'!B$300:B$400,0)),"  ")</f>
        <v xml:space="preserve">  </v>
      </c>
      <c r="AI85" s="563" t="str">
        <f>IFERROR(INDEX('V10'!C$300:C$400,MATCH("*"&amp;L85&amp;"*",'V10'!B$300:B$400,0)),"  ")</f>
        <v xml:space="preserve">  </v>
      </c>
      <c r="AJ85" s="564" t="str">
        <f t="shared" si="106"/>
        <v/>
      </c>
      <c r="AK85" s="565">
        <f t="shared" si="107"/>
        <v>0</v>
      </c>
      <c r="AL85" s="566" t="str">
        <f t="shared" si="108"/>
        <v/>
      </c>
      <c r="AM85" s="567" t="str">
        <f>IFERROR(INDEX(#REF!,MATCH("*"&amp;L85&amp;"*",#REF!,0)),"  ")</f>
        <v xml:space="preserve">  </v>
      </c>
      <c r="AN85" s="568">
        <f t="shared" si="109"/>
        <v>0</v>
      </c>
      <c r="AO85" s="469">
        <f t="shared" si="110"/>
        <v>0</v>
      </c>
      <c r="AP85" s="469">
        <f t="shared" si="111"/>
        <v>0</v>
      </c>
      <c r="AQ85" s="569"/>
      <c r="AR85" s="569"/>
      <c r="AS85" s="569"/>
      <c r="AT85" s="570">
        <f t="shared" si="112"/>
        <v>1E-4</v>
      </c>
      <c r="AU85" s="571">
        <f t="shared" si="113"/>
        <v>1E-4</v>
      </c>
      <c r="AV85" s="571">
        <f t="shared" si="114"/>
        <v>2.0000000000000001E-4</v>
      </c>
      <c r="AW85" s="571">
        <f t="shared" si="115"/>
        <v>2.9999999999999997E-4</v>
      </c>
      <c r="AX85" s="571">
        <f t="shared" si="116"/>
        <v>4.0000000000000002E-4</v>
      </c>
      <c r="AY85" s="571">
        <f t="shared" si="117"/>
        <v>5.0000000000000001E-4</v>
      </c>
      <c r="AZ85" s="571">
        <f t="shared" si="118"/>
        <v>5.9999999999999995E-4</v>
      </c>
      <c r="BA85" s="571">
        <f t="shared" si="119"/>
        <v>6.9999999999999999E-4</v>
      </c>
      <c r="BB85" s="571">
        <f t="shared" si="120"/>
        <v>8.0000000000000004E-4</v>
      </c>
      <c r="BC85" s="571">
        <f t="shared" si="121"/>
        <v>8.9999999999999998E-4</v>
      </c>
      <c r="BD85" s="571">
        <f t="shared" si="122"/>
        <v>1E-3</v>
      </c>
      <c r="BE85" s="569"/>
      <c r="BF85" s="569"/>
      <c r="BG85" s="569"/>
      <c r="BH85" s="569"/>
      <c r="BI85" s="377" t="e">
        <f t="shared" si="123"/>
        <v>#VALUE!</v>
      </c>
      <c r="BJ85" s="377" t="e">
        <f t="shared" si="124"/>
        <v>#VALUE!</v>
      </c>
      <c r="BK85" s="377" t="e">
        <f t="shared" si="125"/>
        <v>#VALUE!</v>
      </c>
      <c r="BL85" s="377" t="e">
        <f t="shared" si="126"/>
        <v>#VALUE!</v>
      </c>
      <c r="BM85" s="377" t="e">
        <f t="shared" si="127"/>
        <v>#VALUE!</v>
      </c>
      <c r="BN85" s="377" t="e">
        <f t="shared" si="128"/>
        <v>#VALUE!</v>
      </c>
      <c r="BO85" s="377" t="e">
        <f t="shared" si="129"/>
        <v>#VALUE!</v>
      </c>
      <c r="BP85" s="377" t="e">
        <f t="shared" si="130"/>
        <v>#VALUE!</v>
      </c>
      <c r="BQ85" s="377" t="e">
        <f t="shared" si="131"/>
        <v>#VALUE!</v>
      </c>
      <c r="BR85" s="377" t="e">
        <f t="shared" si="132"/>
        <v>#VALUE!</v>
      </c>
    </row>
    <row r="86" spans="1:70" ht="12.75" hidden="1" customHeight="1" x14ac:dyDescent="0.2">
      <c r="A86" s="484" t="str">
        <f t="shared" si="89"/>
        <v/>
      </c>
      <c r="B86" s="485">
        <f t="shared" si="90"/>
        <v>114</v>
      </c>
      <c r="C86" s="486" t="str">
        <f t="shared" si="91"/>
        <v/>
      </c>
      <c r="D86" s="487">
        <f t="shared" si="92"/>
        <v>-886</v>
      </c>
      <c r="E86" s="488" t="str">
        <f t="shared" si="93"/>
        <v/>
      </c>
      <c r="F86" s="489">
        <f t="shared" si="94"/>
        <v>-886</v>
      </c>
      <c r="G86" s="490" t="str">
        <f t="shared" si="95"/>
        <v/>
      </c>
      <c r="H86" s="489">
        <f t="shared" si="96"/>
        <v>114</v>
      </c>
      <c r="I86" s="491" t="str">
        <f t="shared" si="97"/>
        <v/>
      </c>
      <c r="J86" s="554">
        <f t="shared" si="98"/>
        <v>-886</v>
      </c>
      <c r="K86" s="526" t="str">
        <f t="shared" si="99"/>
        <v/>
      </c>
      <c r="L86" s="555" t="s">
        <v>227</v>
      </c>
      <c r="M86" s="556" t="s">
        <v>170</v>
      </c>
      <c r="N86" s="557"/>
      <c r="O86" s="558"/>
      <c r="P86" s="559"/>
      <c r="Q86" s="560" t="s">
        <v>148</v>
      </c>
      <c r="R86" s="539">
        <f>(IF(COUNT(Z86,AA86,AB86,AC86,AD86,AE86,AF86,AG86,AH86,AI86)&lt;10,SUM(Z86,AA86,AB86,AC86,AD86,AE86,AF86,AG86,AH86,AI86),SUM(LARGE((Z86,AA86,AB86,AC86,AD86,AE86,AF86,AG86,AH86,AI86),{1;2;3;4;5;6;7;8;9}))))</f>
        <v>0</v>
      </c>
      <c r="S86" s="561" t="str">
        <f>INDEX([1]ETAPP!B$1:B$32,MATCH(COUNTIF(BI86:BR86,1),[1]ETAPP!A$1:A$32,0))&amp;INDEX([1]ETAPP!B$1:B$32,MATCH(COUNTIF(BI86:BR86,2),[1]ETAPP!A$1:A$32,0))&amp;INDEX([1]ETAPP!B$1:B$32,MATCH(COUNTIF(BI86:BR86,3),[1]ETAPP!A$1:A$32,0))&amp;INDEX([1]ETAPP!B$1:B$32,MATCH(COUNTIF(BI86:BR86,4),[1]ETAPP!A$1:A$32,0))&amp;INDEX([1]ETAPP!B$1:B$32,MATCH(COUNTIF(BI86:BR86,5),[1]ETAPP!A$1:A$32,0))&amp;INDEX([1]ETAPP!B$1:B$32,MATCH(COUNTIF(BI86:BR86,6),[1]ETAPP!A$1:A$32,0))&amp;INDEX([1]ETAPP!B$1:B$32,MATCH(COUNTIF(BI86:BR86,7),[1]ETAPP!A$1:A$32,0))&amp;INDEX([1]ETAPP!B$1:B$32,MATCH(COUNTIF(BI86:BR86,8),[1]ETAPP!A$1:A$32,0))&amp;INDEX([1]ETAPP!B$1:B$32,MATCH(COUNTIF(BI86:BR86,9),[1]ETAPP!A$1:A$32,0))&amp;INDEX([1]ETAPP!B$1:B$32,MATCH(COUNTIF(BI86:BR86,10),[1]ETAPP!A$1:A$32,0))&amp;INDEX([1]ETAPP!B$1:B$32,MATCH(COUNTIF(BI86:BR86,11),[1]ETAPP!A$1:A$32,0))&amp;INDEX([1]ETAPP!B$1:B$32,MATCH(COUNTIF(BI86:BR86,12),[1]ETAPP!A$1:A$32,0))&amp;INDEX([1]ETAPP!B$1:B$32,MATCH(COUNTIF(BI86:BR86,13),[1]ETAPP!A$1:A$32,0))&amp;INDEX([1]ETAPP!B$1:B$32,MATCH(COUNTIF(BI86:BR86,14),[1]ETAPP!A$1:A$32,0))&amp;INDEX([1]ETAPP!B$1:B$32,MATCH(COUNTIF(BI86:BR86,15),[1]ETAPP!A$1:A$32,0))&amp;INDEX([1]ETAPP!B$1:B$32,MATCH(COUNTIF(BI86:BR86,16),[1]ETAPP!A$1:A$32,0))&amp;INDEX([1]ETAPP!B$1:B$32,MATCH(COUNTIF(BI86:BR86,17),[1]ETAPP!A$1:A$32,0))&amp;INDEX([1]ETAPP!B$1:B$32,MATCH(COUNTIF(BI86:BR86,18),[1]ETAPP!A$1:A$32,0))&amp;INDEX([1]ETAPP!B$1:B$32,MATCH(COUNTIF(BI86:BR86,19),[1]ETAPP!A$1:A$32,0))&amp;INDEX([1]ETAPP!B$1:B$32,MATCH(COUNTIF(BI86:BR86,20),[1]ETAPP!A$1:A$32,0))&amp;INDEX([1]ETAPP!B$1:B$32,MATCH(COUNTIF(BI86:BR86,21),[1]ETAPP!A$1:A$32,0))</f>
        <v>000000000000000000000</v>
      </c>
      <c r="T86" s="561" t="str">
        <f t="shared" si="100"/>
        <v>000,0-000000000000000000000</v>
      </c>
      <c r="U86" s="561">
        <f t="shared" si="101"/>
        <v>114</v>
      </c>
      <c r="V86" s="561">
        <f t="shared" si="102"/>
        <v>68</v>
      </c>
      <c r="W86" s="561" t="str">
        <f t="shared" si="103"/>
        <v>000,0-000000000000000000000-068</v>
      </c>
      <c r="X86" s="561">
        <f t="shared" si="104"/>
        <v>80</v>
      </c>
      <c r="Y86" s="562">
        <f t="shared" si="105"/>
        <v>35</v>
      </c>
      <c r="Z86" s="563" t="str">
        <f>IFERROR(INDEX('V1'!C$300:C$400,MATCH("*"&amp;L86&amp;"*",'V1'!B$300:B$400,0)),"  ")</f>
        <v xml:space="preserve">  </v>
      </c>
      <c r="AA86" s="563" t="str">
        <f>IFERROR(INDEX('V2'!C$300:C$400,MATCH("*"&amp;L86&amp;"*",'V2'!B$300:B$400,0)),"  ")</f>
        <v xml:space="preserve">  </v>
      </c>
      <c r="AB86" s="563" t="str">
        <f>IFERROR(INDEX('V3'!C$300:C$400,MATCH("*"&amp;L86&amp;"*",'V3'!B$300:B$400,0)),"  ")</f>
        <v xml:space="preserve">  </v>
      </c>
      <c r="AC86" s="563" t="str">
        <f>IFERROR(INDEX('V4'!C$300:C$400,MATCH("*"&amp;L86&amp;"*",'V4'!B$300:B$400,0)),"  ")</f>
        <v xml:space="preserve">  </v>
      </c>
      <c r="AD86" s="563" t="str">
        <f>IFERROR(INDEX('V5'!C$300:C$400,MATCH("*"&amp;L86&amp;"*",'V5'!B$300:B$400,0)),"  ")</f>
        <v xml:space="preserve">  </v>
      </c>
      <c r="AE86" s="563" t="str">
        <f>IFERROR(INDEX('V6'!C$300:C$400,MATCH("*"&amp;L86&amp;"*",'V6'!B$300:B$400,0)),"  ")</f>
        <v xml:space="preserve">  </v>
      </c>
      <c r="AF86" s="563" t="str">
        <f>IFERROR(INDEX('V7'!C$300:C$400,MATCH("*"&amp;L86&amp;"*",'V7'!B$300:B$400,0)),"  ")</f>
        <v xml:space="preserve">  </v>
      </c>
      <c r="AG86" s="563" t="str">
        <f>IFERROR(INDEX('V8'!C$300:C$400,MATCH("*"&amp;L86&amp;"*",'V8'!B$300:B$400,0)),"  ")</f>
        <v xml:space="preserve">  </v>
      </c>
      <c r="AH86" s="563" t="str">
        <f>IFERROR(INDEX('V9'!C$300:C$400,MATCH("*"&amp;L86&amp;"*",'V9'!B$300:B$400,0)),"  ")</f>
        <v xml:space="preserve">  </v>
      </c>
      <c r="AI86" s="563" t="str">
        <f>IFERROR(INDEX('V10'!C$300:C$400,MATCH("*"&amp;L86&amp;"*",'V10'!B$300:B$400,0)),"  ")</f>
        <v xml:space="preserve">  </v>
      </c>
      <c r="AJ86" s="564" t="str">
        <f t="shared" si="106"/>
        <v/>
      </c>
      <c r="AK86" s="565">
        <f t="shared" si="107"/>
        <v>0</v>
      </c>
      <c r="AL86" s="566" t="str">
        <f t="shared" si="108"/>
        <v/>
      </c>
      <c r="AM86" s="567" t="str">
        <f>IFERROR(INDEX(#REF!,MATCH("*"&amp;L86&amp;"*",#REF!,0)),"  ")</f>
        <v xml:space="preserve">  </v>
      </c>
      <c r="AN86" s="568">
        <f t="shared" si="109"/>
        <v>0</v>
      </c>
      <c r="AO86" s="469">
        <f t="shared" si="110"/>
        <v>0</v>
      </c>
      <c r="AP86" s="469">
        <f t="shared" si="111"/>
        <v>0</v>
      </c>
      <c r="AQ86" s="569"/>
      <c r="AR86" s="569"/>
      <c r="AS86" s="569"/>
      <c r="AT86" s="570">
        <f t="shared" si="112"/>
        <v>1E-4</v>
      </c>
      <c r="AU86" s="571">
        <f t="shared" si="113"/>
        <v>1E-4</v>
      </c>
      <c r="AV86" s="571">
        <f t="shared" si="114"/>
        <v>2.0000000000000001E-4</v>
      </c>
      <c r="AW86" s="571">
        <f t="shared" si="115"/>
        <v>2.9999999999999997E-4</v>
      </c>
      <c r="AX86" s="571">
        <f t="shared" si="116"/>
        <v>4.0000000000000002E-4</v>
      </c>
      <c r="AY86" s="571">
        <f t="shared" si="117"/>
        <v>5.0000000000000001E-4</v>
      </c>
      <c r="AZ86" s="571">
        <f t="shared" si="118"/>
        <v>5.9999999999999995E-4</v>
      </c>
      <c r="BA86" s="571">
        <f t="shared" si="119"/>
        <v>6.9999999999999999E-4</v>
      </c>
      <c r="BB86" s="571">
        <f t="shared" si="120"/>
        <v>8.0000000000000004E-4</v>
      </c>
      <c r="BC86" s="571">
        <f t="shared" si="121"/>
        <v>8.9999999999999998E-4</v>
      </c>
      <c r="BD86" s="571">
        <f t="shared" si="122"/>
        <v>1E-3</v>
      </c>
      <c r="BE86" s="569"/>
      <c r="BF86" s="569"/>
      <c r="BG86" s="569"/>
      <c r="BH86" s="569"/>
      <c r="BI86" s="377" t="e">
        <f t="shared" si="123"/>
        <v>#VALUE!</v>
      </c>
      <c r="BJ86" s="377" t="e">
        <f t="shared" si="124"/>
        <v>#VALUE!</v>
      </c>
      <c r="BK86" s="377" t="e">
        <f t="shared" si="125"/>
        <v>#VALUE!</v>
      </c>
      <c r="BL86" s="377" t="e">
        <f t="shared" si="126"/>
        <v>#VALUE!</v>
      </c>
      <c r="BM86" s="377" t="e">
        <f t="shared" si="127"/>
        <v>#VALUE!</v>
      </c>
      <c r="BN86" s="377" t="e">
        <f t="shared" si="128"/>
        <v>#VALUE!</v>
      </c>
      <c r="BO86" s="377" t="e">
        <f t="shared" si="129"/>
        <v>#VALUE!</v>
      </c>
      <c r="BP86" s="377" t="e">
        <f t="shared" si="130"/>
        <v>#VALUE!</v>
      </c>
      <c r="BQ86" s="377" t="e">
        <f t="shared" si="131"/>
        <v>#VALUE!</v>
      </c>
      <c r="BR86" s="377" t="e">
        <f t="shared" si="132"/>
        <v>#VALUE!</v>
      </c>
    </row>
    <row r="87" spans="1:70" ht="12.75" hidden="1" customHeight="1" x14ac:dyDescent="0.2">
      <c r="A87" s="484" t="str">
        <f t="shared" si="89"/>
        <v/>
      </c>
      <c r="B87" s="485">
        <f t="shared" si="90"/>
        <v>114</v>
      </c>
      <c r="C87" s="486" t="str">
        <f t="shared" si="91"/>
        <v/>
      </c>
      <c r="D87" s="487">
        <f t="shared" si="92"/>
        <v>-886</v>
      </c>
      <c r="E87" s="488" t="str">
        <f t="shared" si="93"/>
        <v/>
      </c>
      <c r="F87" s="489">
        <f t="shared" si="94"/>
        <v>-886</v>
      </c>
      <c r="G87" s="490" t="str">
        <f t="shared" si="95"/>
        <v/>
      </c>
      <c r="H87" s="489">
        <f t="shared" si="96"/>
        <v>114</v>
      </c>
      <c r="I87" s="491" t="str">
        <f t="shared" si="97"/>
        <v/>
      </c>
      <c r="J87" s="554">
        <f t="shared" si="98"/>
        <v>-886</v>
      </c>
      <c r="K87" s="526" t="str">
        <f t="shared" si="99"/>
        <v/>
      </c>
      <c r="L87" s="573" t="s">
        <v>228</v>
      </c>
      <c r="M87" s="556" t="s">
        <v>170</v>
      </c>
      <c r="N87" s="557" t="str">
        <f>IF(M87="","m","")</f>
        <v/>
      </c>
      <c r="O87" s="558"/>
      <c r="P87" s="559"/>
      <c r="Q87" s="560" t="s">
        <v>148</v>
      </c>
      <c r="R87" s="539">
        <f>(IF(COUNT(Z87,AA87,AB87,AC87,AD87,AE87,AF87,AG87,AH87,AI87)&lt;10,SUM(Z87,AA87,AB87,AC87,AD87,AE87,AF87,AG87,AH87,AI87),SUM(LARGE((Z87,AA87,AB87,AC87,AD87,AE87,AF87,AG87,AH87,AI87),{1;2;3;4;5;6;7;8;9}))))</f>
        <v>0</v>
      </c>
      <c r="S87" s="561" t="str">
        <f>INDEX([1]ETAPP!B$1:B$32,MATCH(COUNTIF(BI87:BR87,1),[1]ETAPP!A$1:A$32,0))&amp;INDEX([1]ETAPP!B$1:B$32,MATCH(COUNTIF(BI87:BR87,2),[1]ETAPP!A$1:A$32,0))&amp;INDEX([1]ETAPP!B$1:B$32,MATCH(COUNTIF(BI87:BR87,3),[1]ETAPP!A$1:A$32,0))&amp;INDEX([1]ETAPP!B$1:B$32,MATCH(COUNTIF(BI87:BR87,4),[1]ETAPP!A$1:A$32,0))&amp;INDEX([1]ETAPP!B$1:B$32,MATCH(COUNTIF(BI87:BR87,5),[1]ETAPP!A$1:A$32,0))&amp;INDEX([1]ETAPP!B$1:B$32,MATCH(COUNTIF(BI87:BR87,6),[1]ETAPP!A$1:A$32,0))&amp;INDEX([1]ETAPP!B$1:B$32,MATCH(COUNTIF(BI87:BR87,7),[1]ETAPP!A$1:A$32,0))&amp;INDEX([1]ETAPP!B$1:B$32,MATCH(COUNTIF(BI87:BR87,8),[1]ETAPP!A$1:A$32,0))&amp;INDEX([1]ETAPP!B$1:B$32,MATCH(COUNTIF(BI87:BR87,9),[1]ETAPP!A$1:A$32,0))&amp;INDEX([1]ETAPP!B$1:B$32,MATCH(COUNTIF(BI87:BR87,10),[1]ETAPP!A$1:A$32,0))&amp;INDEX([1]ETAPP!B$1:B$32,MATCH(COUNTIF(BI87:BR87,11),[1]ETAPP!A$1:A$32,0))&amp;INDEX([1]ETAPP!B$1:B$32,MATCH(COUNTIF(BI87:BR87,12),[1]ETAPP!A$1:A$32,0))&amp;INDEX([1]ETAPP!B$1:B$32,MATCH(COUNTIF(BI87:BR87,13),[1]ETAPP!A$1:A$32,0))&amp;INDEX([1]ETAPP!B$1:B$32,MATCH(COUNTIF(BI87:BR87,14),[1]ETAPP!A$1:A$32,0))&amp;INDEX([1]ETAPP!B$1:B$32,MATCH(COUNTIF(BI87:BR87,15),[1]ETAPP!A$1:A$32,0))&amp;INDEX([1]ETAPP!B$1:B$32,MATCH(COUNTIF(BI87:BR87,16),[1]ETAPP!A$1:A$32,0))&amp;INDEX([1]ETAPP!B$1:B$32,MATCH(COUNTIF(BI87:BR87,17),[1]ETAPP!A$1:A$32,0))&amp;INDEX([1]ETAPP!B$1:B$32,MATCH(COUNTIF(BI87:BR87,18),[1]ETAPP!A$1:A$32,0))&amp;INDEX([1]ETAPP!B$1:B$32,MATCH(COUNTIF(BI87:BR87,19),[1]ETAPP!A$1:A$32,0))&amp;INDEX([1]ETAPP!B$1:B$32,MATCH(COUNTIF(BI87:BR87,20),[1]ETAPP!A$1:A$32,0))&amp;INDEX([1]ETAPP!B$1:B$32,MATCH(COUNTIF(BI87:BR87,21),[1]ETAPP!A$1:A$32,0))</f>
        <v>000000000000000000000</v>
      </c>
      <c r="T87" s="561" t="str">
        <f t="shared" si="100"/>
        <v>000,0-000000000000000000000</v>
      </c>
      <c r="U87" s="561">
        <f t="shared" si="101"/>
        <v>114</v>
      </c>
      <c r="V87" s="561">
        <f t="shared" si="102"/>
        <v>66</v>
      </c>
      <c r="W87" s="561" t="str">
        <f t="shared" si="103"/>
        <v>000,0-000000000000000000000-066</v>
      </c>
      <c r="X87" s="561">
        <f t="shared" si="104"/>
        <v>81</v>
      </c>
      <c r="Y87" s="562">
        <f t="shared" si="105"/>
        <v>34</v>
      </c>
      <c r="Z87" s="563" t="str">
        <f>IFERROR(INDEX('V1'!C$300:C$400,MATCH("*"&amp;L87&amp;"*",'V1'!B$300:B$400,0)),"  ")</f>
        <v xml:space="preserve">  </v>
      </c>
      <c r="AA87" s="563" t="str">
        <f>IFERROR(INDEX('V2'!C$300:C$400,MATCH("*"&amp;L87&amp;"*",'V2'!B$300:B$400,0)),"  ")</f>
        <v xml:space="preserve">  </v>
      </c>
      <c r="AB87" s="563" t="str">
        <f>IFERROR(INDEX('V3'!C$300:C$400,MATCH("*"&amp;L87&amp;"*",'V3'!B$300:B$400,0)),"  ")</f>
        <v xml:space="preserve">  </v>
      </c>
      <c r="AC87" s="563" t="str">
        <f>IFERROR(INDEX('V4'!C$300:C$400,MATCH("*"&amp;L87&amp;"*",'V4'!B$300:B$400,0)),"  ")</f>
        <v xml:space="preserve">  </v>
      </c>
      <c r="AD87" s="563" t="str">
        <f>IFERROR(INDEX('V5'!C$300:C$400,MATCH("*"&amp;L87&amp;"*",'V5'!B$300:B$400,0)),"  ")</f>
        <v xml:space="preserve">  </v>
      </c>
      <c r="AE87" s="563" t="str">
        <f>IFERROR(INDEX('V6'!C$300:C$400,MATCH("*"&amp;L87&amp;"*",'V6'!B$300:B$400,0)),"  ")</f>
        <v xml:space="preserve">  </v>
      </c>
      <c r="AF87" s="563" t="str">
        <f>IFERROR(INDEX('V7'!C$300:C$400,MATCH("*"&amp;L87&amp;"*",'V7'!B$300:B$400,0)),"  ")</f>
        <v xml:space="preserve">  </v>
      </c>
      <c r="AG87" s="563" t="str">
        <f>IFERROR(INDEX('V8'!C$300:C$400,MATCH("*"&amp;L87&amp;"*",'V8'!B$300:B$400,0)),"  ")</f>
        <v xml:space="preserve">  </v>
      </c>
      <c r="AH87" s="563" t="str">
        <f>IFERROR(INDEX('V9'!C$300:C$400,MATCH("*"&amp;L87&amp;"*",'V9'!B$300:B$400,0)),"  ")</f>
        <v xml:space="preserve">  </v>
      </c>
      <c r="AI87" s="563" t="str">
        <f>IFERROR(INDEX('V10'!C$300:C$400,MATCH("*"&amp;L87&amp;"*",'V10'!B$300:B$400,0)),"  ")</f>
        <v xml:space="preserve">  </v>
      </c>
      <c r="AJ87" s="564" t="str">
        <f t="shared" si="106"/>
        <v/>
      </c>
      <c r="AK87" s="565">
        <f t="shared" si="107"/>
        <v>0</v>
      </c>
      <c r="AL87" s="566" t="str">
        <f t="shared" si="108"/>
        <v/>
      </c>
      <c r="AM87" s="567" t="str">
        <f>IFERROR(INDEX(#REF!,MATCH("*"&amp;L87&amp;"*",#REF!,0)),"  ")</f>
        <v xml:space="preserve">  </v>
      </c>
      <c r="AN87" s="568">
        <f t="shared" si="109"/>
        <v>0</v>
      </c>
      <c r="AO87" s="469">
        <f t="shared" si="110"/>
        <v>0</v>
      </c>
      <c r="AP87" s="469">
        <f t="shared" si="111"/>
        <v>0</v>
      </c>
      <c r="AQ87" s="569"/>
      <c r="AR87" s="569"/>
      <c r="AS87" s="569"/>
      <c r="AT87" s="570">
        <f t="shared" si="112"/>
        <v>1E-4</v>
      </c>
      <c r="AU87" s="571">
        <f t="shared" si="113"/>
        <v>1E-4</v>
      </c>
      <c r="AV87" s="571">
        <f t="shared" si="114"/>
        <v>2.0000000000000001E-4</v>
      </c>
      <c r="AW87" s="571">
        <f t="shared" si="115"/>
        <v>2.9999999999999997E-4</v>
      </c>
      <c r="AX87" s="571">
        <f t="shared" si="116"/>
        <v>4.0000000000000002E-4</v>
      </c>
      <c r="AY87" s="571">
        <f t="shared" si="117"/>
        <v>5.0000000000000001E-4</v>
      </c>
      <c r="AZ87" s="571">
        <f t="shared" si="118"/>
        <v>5.9999999999999995E-4</v>
      </c>
      <c r="BA87" s="571">
        <f t="shared" si="119"/>
        <v>6.9999999999999999E-4</v>
      </c>
      <c r="BB87" s="571">
        <f t="shared" si="120"/>
        <v>8.0000000000000004E-4</v>
      </c>
      <c r="BC87" s="571">
        <f t="shared" si="121"/>
        <v>8.9999999999999998E-4</v>
      </c>
      <c r="BD87" s="571">
        <f t="shared" si="122"/>
        <v>1E-3</v>
      </c>
      <c r="BE87" s="569"/>
      <c r="BF87" s="569"/>
      <c r="BG87" s="569"/>
      <c r="BH87" s="569"/>
      <c r="BI87" s="377" t="e">
        <f t="shared" si="123"/>
        <v>#VALUE!</v>
      </c>
      <c r="BJ87" s="377" t="e">
        <f t="shared" si="124"/>
        <v>#VALUE!</v>
      </c>
      <c r="BK87" s="377" t="e">
        <f t="shared" si="125"/>
        <v>#VALUE!</v>
      </c>
      <c r="BL87" s="377" t="e">
        <f t="shared" si="126"/>
        <v>#VALUE!</v>
      </c>
      <c r="BM87" s="377" t="e">
        <f t="shared" si="127"/>
        <v>#VALUE!</v>
      </c>
      <c r="BN87" s="377" t="e">
        <f t="shared" si="128"/>
        <v>#VALUE!</v>
      </c>
      <c r="BO87" s="377" t="e">
        <f t="shared" si="129"/>
        <v>#VALUE!</v>
      </c>
      <c r="BP87" s="377" t="e">
        <f t="shared" si="130"/>
        <v>#VALUE!</v>
      </c>
      <c r="BQ87" s="377" t="e">
        <f t="shared" si="131"/>
        <v>#VALUE!</v>
      </c>
      <c r="BR87" s="377" t="e">
        <f t="shared" si="132"/>
        <v>#VALUE!</v>
      </c>
    </row>
    <row r="88" spans="1:70" ht="12.75" hidden="1" customHeight="1" x14ac:dyDescent="0.2">
      <c r="A88" s="484" t="str">
        <f t="shared" si="89"/>
        <v/>
      </c>
      <c r="B88" s="485">
        <f t="shared" si="90"/>
        <v>-886</v>
      </c>
      <c r="C88" s="486" t="str">
        <f t="shared" si="91"/>
        <v/>
      </c>
      <c r="D88" s="487">
        <f t="shared" si="92"/>
        <v>114</v>
      </c>
      <c r="E88" s="488" t="str">
        <f t="shared" si="93"/>
        <v/>
      </c>
      <c r="F88" s="489">
        <f t="shared" si="94"/>
        <v>114</v>
      </c>
      <c r="G88" s="490" t="str">
        <f t="shared" si="95"/>
        <v/>
      </c>
      <c r="H88" s="489">
        <f t="shared" si="96"/>
        <v>-886</v>
      </c>
      <c r="I88" s="491" t="str">
        <f t="shared" si="97"/>
        <v/>
      </c>
      <c r="J88" s="554">
        <f t="shared" si="98"/>
        <v>114</v>
      </c>
      <c r="K88" s="526" t="str">
        <f t="shared" si="99"/>
        <v/>
      </c>
      <c r="L88" s="573" t="s">
        <v>286</v>
      </c>
      <c r="M88" s="556"/>
      <c r="N88" s="557" t="s">
        <v>168</v>
      </c>
      <c r="O88" s="579" t="s">
        <v>190</v>
      </c>
      <c r="P88" s="559" t="s">
        <v>269</v>
      </c>
      <c r="Q88" s="560"/>
      <c r="R88" s="539">
        <f>(IF(COUNT(Z88,AA88,AB88,AC88,AD88,AE88,AF88,AG88,AH88,AI88)&lt;10,SUM(Z88,AA88,AB88,AC88,AD88,AE88,AF88,AG88,AH88,AI88),SUM(LARGE((Z88,AA88,AB88,AC88,AD88,AE88,AF88,AG88,AH88,AI88),{1;2;3;4;5;6;7;8;9}))))</f>
        <v>0</v>
      </c>
      <c r="S88" s="561" t="str">
        <f>INDEX([1]ETAPP!B$1:B$32,MATCH(COUNTIF(BI88:BR88,1),[1]ETAPP!A$1:A$32,0))&amp;INDEX([1]ETAPP!B$1:B$32,MATCH(COUNTIF(BI88:BR88,2),[1]ETAPP!A$1:A$32,0))&amp;INDEX([1]ETAPP!B$1:B$32,MATCH(COUNTIF(BI88:BR88,3),[1]ETAPP!A$1:A$32,0))&amp;INDEX([1]ETAPP!B$1:B$32,MATCH(COUNTIF(BI88:BR88,4),[1]ETAPP!A$1:A$32,0))&amp;INDEX([1]ETAPP!B$1:B$32,MATCH(COUNTIF(BI88:BR88,5),[1]ETAPP!A$1:A$32,0))&amp;INDEX([1]ETAPP!B$1:B$32,MATCH(COUNTIF(BI88:BR88,6),[1]ETAPP!A$1:A$32,0))&amp;INDEX([1]ETAPP!B$1:B$32,MATCH(COUNTIF(BI88:BR88,7),[1]ETAPP!A$1:A$32,0))&amp;INDEX([1]ETAPP!B$1:B$32,MATCH(COUNTIF(BI88:BR88,8),[1]ETAPP!A$1:A$32,0))&amp;INDEX([1]ETAPP!B$1:B$32,MATCH(COUNTIF(BI88:BR88,9),[1]ETAPP!A$1:A$32,0))&amp;INDEX([1]ETAPP!B$1:B$32,MATCH(COUNTIF(BI88:BR88,10),[1]ETAPP!A$1:A$32,0))&amp;INDEX([1]ETAPP!B$1:B$32,MATCH(COUNTIF(BI88:BR88,11),[1]ETAPP!A$1:A$32,0))&amp;INDEX([1]ETAPP!B$1:B$32,MATCH(COUNTIF(BI88:BR88,12),[1]ETAPP!A$1:A$32,0))&amp;INDEX([1]ETAPP!B$1:B$32,MATCH(COUNTIF(BI88:BR88,13),[1]ETAPP!A$1:A$32,0))&amp;INDEX([1]ETAPP!B$1:B$32,MATCH(COUNTIF(BI88:BR88,14),[1]ETAPP!A$1:A$32,0))&amp;INDEX([1]ETAPP!B$1:B$32,MATCH(COUNTIF(BI88:BR88,15),[1]ETAPP!A$1:A$32,0))&amp;INDEX([1]ETAPP!B$1:B$32,MATCH(COUNTIF(BI88:BR88,16),[1]ETAPP!A$1:A$32,0))&amp;INDEX([1]ETAPP!B$1:B$32,MATCH(COUNTIF(BI88:BR88,17),[1]ETAPP!A$1:A$32,0))&amp;INDEX([1]ETAPP!B$1:B$32,MATCH(COUNTIF(BI88:BR88,18),[1]ETAPP!A$1:A$32,0))&amp;INDEX([1]ETAPP!B$1:B$32,MATCH(COUNTIF(BI88:BR88,19),[1]ETAPP!A$1:A$32,0))&amp;INDEX([1]ETAPP!B$1:B$32,MATCH(COUNTIF(BI88:BR88,20),[1]ETAPP!A$1:A$32,0))&amp;INDEX([1]ETAPP!B$1:B$32,MATCH(COUNTIF(BI88:BR88,21),[1]ETAPP!A$1:A$32,0))</f>
        <v>000000000000000000000</v>
      </c>
      <c r="T88" s="561" t="str">
        <f t="shared" si="100"/>
        <v>000,0-000000000000000000000</v>
      </c>
      <c r="U88" s="561">
        <f t="shared" si="101"/>
        <v>114</v>
      </c>
      <c r="V88" s="561">
        <f t="shared" si="102"/>
        <v>64</v>
      </c>
      <c r="W88" s="561" t="str">
        <f t="shared" si="103"/>
        <v>000,0-000000000000000000000-064</v>
      </c>
      <c r="X88" s="561">
        <f t="shared" si="104"/>
        <v>82</v>
      </c>
      <c r="Y88" s="562">
        <f t="shared" si="105"/>
        <v>33</v>
      </c>
      <c r="Z88" s="563" t="str">
        <f>IFERROR(INDEX('V1'!C$300:C$400,MATCH("*"&amp;L88&amp;"*",'V1'!B$300:B$400,0)),"  ")</f>
        <v xml:space="preserve">  </v>
      </c>
      <c r="AA88" s="563" t="str">
        <f>IFERROR(INDEX('V2'!C$300:C$400,MATCH("*"&amp;L88&amp;"*",'V2'!B$300:B$400,0)),"  ")</f>
        <v xml:space="preserve">  </v>
      </c>
      <c r="AB88" s="563" t="str">
        <f>IFERROR(INDEX('V3'!C$300:C$400,MATCH("*"&amp;L88&amp;"*",'V3'!B$300:B$400,0)),"  ")</f>
        <v xml:space="preserve">  </v>
      </c>
      <c r="AC88" s="563" t="str">
        <f>IFERROR(INDEX('V4'!C$300:C$400,MATCH("*"&amp;L88&amp;"*",'V4'!B$300:B$400,0)),"  ")</f>
        <v xml:space="preserve">  </v>
      </c>
      <c r="AD88" s="563" t="str">
        <f>IFERROR(INDEX('V5'!C$300:C$400,MATCH("*"&amp;L88&amp;"*",'V5'!B$300:B$400,0)),"  ")</f>
        <v xml:space="preserve">  </v>
      </c>
      <c r="AE88" s="563" t="str">
        <f>IFERROR(INDEX('V6'!C$300:C$400,MATCH("*"&amp;L88&amp;"*",'V6'!B$300:B$400,0)),"  ")</f>
        <v xml:space="preserve">  </v>
      </c>
      <c r="AF88" s="563" t="str">
        <f>IFERROR(INDEX('V7'!C$300:C$400,MATCH("*"&amp;L88&amp;"*",'V7'!B$300:B$400,0)),"  ")</f>
        <v xml:space="preserve">  </v>
      </c>
      <c r="AG88" s="563" t="str">
        <f>IFERROR(INDEX('V8'!C$300:C$400,MATCH("*"&amp;L88&amp;"*",'V8'!B$300:B$400,0)),"  ")</f>
        <v xml:space="preserve">  </v>
      </c>
      <c r="AH88" s="563" t="str">
        <f>IFERROR(INDEX('V9'!C$300:C$400,MATCH("*"&amp;L88&amp;"*",'V9'!B$300:B$400,0)),"  ")</f>
        <v xml:space="preserve">  </v>
      </c>
      <c r="AI88" s="563" t="str">
        <f>IFERROR(INDEX('V10'!C$300:C$400,MATCH("*"&amp;L88&amp;"*",'V10'!B$300:B$400,0)),"  ")</f>
        <v xml:space="preserve">  </v>
      </c>
      <c r="AJ88" s="564" t="str">
        <f t="shared" si="106"/>
        <v/>
      </c>
      <c r="AK88" s="565">
        <f t="shared" si="107"/>
        <v>0</v>
      </c>
      <c r="AL88" s="566" t="str">
        <f t="shared" si="108"/>
        <v/>
      </c>
      <c r="AM88" s="567" t="str">
        <f>IFERROR(INDEX(#REF!,MATCH("*"&amp;L88&amp;"*",#REF!,0)),"  ")</f>
        <v xml:space="preserve">  </v>
      </c>
      <c r="AN88" s="568">
        <f t="shared" si="109"/>
        <v>0</v>
      </c>
      <c r="AO88" s="469">
        <f t="shared" si="110"/>
        <v>0</v>
      </c>
      <c r="AP88" s="469">
        <f t="shared" si="111"/>
        <v>0</v>
      </c>
      <c r="AQ88" s="569"/>
      <c r="AR88" s="569"/>
      <c r="AS88" s="569"/>
      <c r="AT88" s="570">
        <f t="shared" si="112"/>
        <v>1E-4</v>
      </c>
      <c r="AU88" s="571">
        <f t="shared" si="113"/>
        <v>1E-4</v>
      </c>
      <c r="AV88" s="571">
        <f t="shared" si="114"/>
        <v>2.0000000000000001E-4</v>
      </c>
      <c r="AW88" s="571">
        <f t="shared" si="115"/>
        <v>2.9999999999999997E-4</v>
      </c>
      <c r="AX88" s="571">
        <f t="shared" si="116"/>
        <v>4.0000000000000002E-4</v>
      </c>
      <c r="AY88" s="571">
        <f t="shared" si="117"/>
        <v>5.0000000000000001E-4</v>
      </c>
      <c r="AZ88" s="571">
        <f t="shared" si="118"/>
        <v>5.9999999999999995E-4</v>
      </c>
      <c r="BA88" s="571">
        <f t="shared" si="119"/>
        <v>6.9999999999999999E-4</v>
      </c>
      <c r="BB88" s="571">
        <f t="shared" si="120"/>
        <v>8.0000000000000004E-4</v>
      </c>
      <c r="BC88" s="571">
        <f t="shared" si="121"/>
        <v>8.9999999999999998E-4</v>
      </c>
      <c r="BD88" s="571">
        <f t="shared" si="122"/>
        <v>1E-3</v>
      </c>
      <c r="BE88" s="569"/>
      <c r="BF88" s="569"/>
      <c r="BG88" s="569"/>
      <c r="BH88" s="569"/>
      <c r="BI88" s="377" t="e">
        <f t="shared" si="123"/>
        <v>#VALUE!</v>
      </c>
      <c r="BJ88" s="377" t="e">
        <f t="shared" si="124"/>
        <v>#VALUE!</v>
      </c>
      <c r="BK88" s="377" t="e">
        <f t="shared" si="125"/>
        <v>#VALUE!</v>
      </c>
      <c r="BL88" s="377" t="e">
        <f t="shared" si="126"/>
        <v>#VALUE!</v>
      </c>
      <c r="BM88" s="377" t="e">
        <f t="shared" si="127"/>
        <v>#VALUE!</v>
      </c>
      <c r="BN88" s="377" t="e">
        <f t="shared" si="128"/>
        <v>#VALUE!</v>
      </c>
      <c r="BO88" s="377" t="e">
        <f t="shared" si="129"/>
        <v>#VALUE!</v>
      </c>
      <c r="BP88" s="377" t="e">
        <f t="shared" si="130"/>
        <v>#VALUE!</v>
      </c>
      <c r="BQ88" s="377" t="e">
        <f t="shared" si="131"/>
        <v>#VALUE!</v>
      </c>
      <c r="BR88" s="377" t="e">
        <f t="shared" si="132"/>
        <v>#VALUE!</v>
      </c>
    </row>
    <row r="89" spans="1:70" ht="12.75" hidden="1" customHeight="1" x14ac:dyDescent="0.2">
      <c r="A89" s="484" t="str">
        <f t="shared" si="89"/>
        <v/>
      </c>
      <c r="B89" s="485">
        <f t="shared" si="90"/>
        <v>-886</v>
      </c>
      <c r="C89" s="486" t="str">
        <f t="shared" si="91"/>
        <v/>
      </c>
      <c r="D89" s="487">
        <f t="shared" si="92"/>
        <v>-886</v>
      </c>
      <c r="E89" s="488" t="str">
        <f t="shared" si="93"/>
        <v/>
      </c>
      <c r="F89" s="489">
        <f t="shared" si="94"/>
        <v>114</v>
      </c>
      <c r="G89" s="490" t="str">
        <f t="shared" si="95"/>
        <v/>
      </c>
      <c r="H89" s="489">
        <f t="shared" si="96"/>
        <v>-886</v>
      </c>
      <c r="I89" s="491" t="str">
        <f t="shared" si="97"/>
        <v/>
      </c>
      <c r="J89" s="554">
        <f t="shared" si="98"/>
        <v>-886</v>
      </c>
      <c r="K89" s="526" t="str">
        <f t="shared" si="99"/>
        <v/>
      </c>
      <c r="L89" s="555" t="s">
        <v>229</v>
      </c>
      <c r="M89" s="556"/>
      <c r="N89" s="557" t="s">
        <v>168</v>
      </c>
      <c r="O89" s="579"/>
      <c r="P89" s="559"/>
      <c r="Q89" s="560" t="s">
        <v>284</v>
      </c>
      <c r="R89" s="539">
        <f>(IF(COUNT(Z89,AA89,AB89,AC89,AD89,AE89,AF89,AG89,AH89,AI89)&lt;10,SUM(Z89,AA89,AB89,AC89,AD89,AE89,AF89,AG89,AH89,AI89),SUM(LARGE((Z89,AA89,AB89,AC89,AD89,AE89,AF89,AG89,AH89,AI89),{1;2;3;4;5;6;7;8;9}))))</f>
        <v>0</v>
      </c>
      <c r="S89" s="561" t="str">
        <f>INDEX([1]ETAPP!B$1:B$32,MATCH(COUNTIF(BI89:BR89,1),[1]ETAPP!A$1:A$32,0))&amp;INDEX([1]ETAPP!B$1:B$32,MATCH(COUNTIF(BI89:BR89,2),[1]ETAPP!A$1:A$32,0))&amp;INDEX([1]ETAPP!B$1:B$32,MATCH(COUNTIF(BI89:BR89,3),[1]ETAPP!A$1:A$32,0))&amp;INDEX([1]ETAPP!B$1:B$32,MATCH(COUNTIF(BI89:BR89,4),[1]ETAPP!A$1:A$32,0))&amp;INDEX([1]ETAPP!B$1:B$32,MATCH(COUNTIF(BI89:BR89,5),[1]ETAPP!A$1:A$32,0))&amp;INDEX([1]ETAPP!B$1:B$32,MATCH(COUNTIF(BI89:BR89,6),[1]ETAPP!A$1:A$32,0))&amp;INDEX([1]ETAPP!B$1:B$32,MATCH(COUNTIF(BI89:BR89,7),[1]ETAPP!A$1:A$32,0))&amp;INDEX([1]ETAPP!B$1:B$32,MATCH(COUNTIF(BI89:BR89,8),[1]ETAPP!A$1:A$32,0))&amp;INDEX([1]ETAPP!B$1:B$32,MATCH(COUNTIF(BI89:BR89,9),[1]ETAPP!A$1:A$32,0))&amp;INDEX([1]ETAPP!B$1:B$32,MATCH(COUNTIF(BI89:BR89,10),[1]ETAPP!A$1:A$32,0))&amp;INDEX([1]ETAPP!B$1:B$32,MATCH(COUNTIF(BI89:BR89,11),[1]ETAPP!A$1:A$32,0))&amp;INDEX([1]ETAPP!B$1:B$32,MATCH(COUNTIF(BI89:BR89,12),[1]ETAPP!A$1:A$32,0))&amp;INDEX([1]ETAPP!B$1:B$32,MATCH(COUNTIF(BI89:BR89,13),[1]ETAPP!A$1:A$32,0))&amp;INDEX([1]ETAPP!B$1:B$32,MATCH(COUNTIF(BI89:BR89,14),[1]ETAPP!A$1:A$32,0))&amp;INDEX([1]ETAPP!B$1:B$32,MATCH(COUNTIF(BI89:BR89,15),[1]ETAPP!A$1:A$32,0))&amp;INDEX([1]ETAPP!B$1:B$32,MATCH(COUNTIF(BI89:BR89,16),[1]ETAPP!A$1:A$32,0))&amp;INDEX([1]ETAPP!B$1:B$32,MATCH(COUNTIF(BI89:BR89,17),[1]ETAPP!A$1:A$32,0))&amp;INDEX([1]ETAPP!B$1:B$32,MATCH(COUNTIF(BI89:BR89,18),[1]ETAPP!A$1:A$32,0))&amp;INDEX([1]ETAPP!B$1:B$32,MATCH(COUNTIF(BI89:BR89,19),[1]ETAPP!A$1:A$32,0))&amp;INDEX([1]ETAPP!B$1:B$32,MATCH(COUNTIF(BI89:BR89,20),[1]ETAPP!A$1:A$32,0))&amp;INDEX([1]ETAPP!B$1:B$32,MATCH(COUNTIF(BI89:BR89,21),[1]ETAPP!A$1:A$32,0))</f>
        <v>000000000000000000000</v>
      </c>
      <c r="T89" s="561" t="str">
        <f t="shared" si="100"/>
        <v>000,0-000000000000000000000</v>
      </c>
      <c r="U89" s="561">
        <f t="shared" si="101"/>
        <v>114</v>
      </c>
      <c r="V89" s="561">
        <f t="shared" si="102"/>
        <v>63</v>
      </c>
      <c r="W89" s="561" t="str">
        <f t="shared" si="103"/>
        <v>000,0-000000000000000000000-063</v>
      </c>
      <c r="X89" s="561">
        <f t="shared" si="104"/>
        <v>83</v>
      </c>
      <c r="Y89" s="562">
        <f t="shared" si="105"/>
        <v>32</v>
      </c>
      <c r="Z89" s="563" t="str">
        <f>IFERROR(INDEX('V1'!C$300:C$400,MATCH("*"&amp;L89&amp;"*",'V1'!B$300:B$400,0)),"  ")</f>
        <v xml:space="preserve">  </v>
      </c>
      <c r="AA89" s="563" t="str">
        <f>IFERROR(INDEX('V2'!C$300:C$400,MATCH("*"&amp;L89&amp;"*",'V2'!B$300:B$400,0)),"  ")</f>
        <v xml:space="preserve">  </v>
      </c>
      <c r="AB89" s="563" t="str">
        <f>IFERROR(INDEX('V3'!C$300:C$400,MATCH("*"&amp;L89&amp;"*",'V3'!B$300:B$400,0)),"  ")</f>
        <v xml:space="preserve">  </v>
      </c>
      <c r="AC89" s="563" t="str">
        <f>IFERROR(INDEX('V4'!C$300:C$400,MATCH("*"&amp;L89&amp;"*",'V4'!B$300:B$400,0)),"  ")</f>
        <v xml:space="preserve">  </v>
      </c>
      <c r="AD89" s="563" t="str">
        <f>IFERROR(INDEX('V5'!C$300:C$400,MATCH("*"&amp;L89&amp;"*",'V5'!B$300:B$400,0)),"  ")</f>
        <v xml:space="preserve">  </v>
      </c>
      <c r="AE89" s="563" t="str">
        <f>IFERROR(INDEX('V6'!C$300:C$400,MATCH("*"&amp;L89&amp;"*",'V6'!B$300:B$400,0)),"  ")</f>
        <v xml:space="preserve">  </v>
      </c>
      <c r="AF89" s="563" t="str">
        <f>IFERROR(INDEX('V7'!C$300:C$400,MATCH("*"&amp;L89&amp;"*",'V7'!B$300:B$400,0)),"  ")</f>
        <v xml:space="preserve">  </v>
      </c>
      <c r="AG89" s="563" t="str">
        <f>IFERROR(INDEX('V8'!C$300:C$400,MATCH("*"&amp;L89&amp;"*",'V8'!B$300:B$400,0)),"  ")</f>
        <v xml:space="preserve">  </v>
      </c>
      <c r="AH89" s="563" t="str">
        <f>IFERROR(INDEX('V9'!C$300:C$400,MATCH("*"&amp;L89&amp;"*",'V9'!B$300:B$400,0)),"  ")</f>
        <v xml:space="preserve">  </v>
      </c>
      <c r="AI89" s="563" t="str">
        <f>IFERROR(INDEX('V10'!C$300:C$400,MATCH("*"&amp;L89&amp;"*",'V10'!B$300:B$400,0)),"  ")</f>
        <v xml:space="preserve">  </v>
      </c>
      <c r="AJ89" s="564" t="str">
        <f t="shared" si="106"/>
        <v/>
      </c>
      <c r="AK89" s="565">
        <f t="shared" si="107"/>
        <v>0</v>
      </c>
      <c r="AL89" s="566" t="str">
        <f t="shared" si="108"/>
        <v/>
      </c>
      <c r="AM89" s="567" t="str">
        <f>IFERROR(INDEX(#REF!,MATCH("*"&amp;L89&amp;"*",#REF!,0)),"  ")</f>
        <v xml:space="preserve">  </v>
      </c>
      <c r="AN89" s="568">
        <f t="shared" si="109"/>
        <v>0</v>
      </c>
      <c r="AO89" s="469">
        <f t="shared" si="110"/>
        <v>0</v>
      </c>
      <c r="AP89" s="469">
        <f t="shared" si="111"/>
        <v>0</v>
      </c>
      <c r="AQ89" s="569"/>
      <c r="AR89" s="569"/>
      <c r="AS89" s="569"/>
      <c r="AT89" s="570">
        <f t="shared" si="112"/>
        <v>1E-4</v>
      </c>
      <c r="AU89" s="571">
        <f t="shared" si="113"/>
        <v>1E-4</v>
      </c>
      <c r="AV89" s="571">
        <f t="shared" si="114"/>
        <v>2.0000000000000001E-4</v>
      </c>
      <c r="AW89" s="571">
        <f t="shared" si="115"/>
        <v>2.9999999999999997E-4</v>
      </c>
      <c r="AX89" s="571">
        <f t="shared" si="116"/>
        <v>4.0000000000000002E-4</v>
      </c>
      <c r="AY89" s="571">
        <f t="shared" si="117"/>
        <v>5.0000000000000001E-4</v>
      </c>
      <c r="AZ89" s="571">
        <f t="shared" si="118"/>
        <v>5.9999999999999995E-4</v>
      </c>
      <c r="BA89" s="571">
        <f t="shared" si="119"/>
        <v>6.9999999999999999E-4</v>
      </c>
      <c r="BB89" s="571">
        <f t="shared" si="120"/>
        <v>8.0000000000000004E-4</v>
      </c>
      <c r="BC89" s="571">
        <f t="shared" si="121"/>
        <v>8.9999999999999998E-4</v>
      </c>
      <c r="BD89" s="571">
        <f t="shared" si="122"/>
        <v>1E-3</v>
      </c>
      <c r="BE89" s="569"/>
      <c r="BF89" s="569"/>
      <c r="BG89" s="569"/>
      <c r="BH89" s="569"/>
      <c r="BI89" s="377" t="e">
        <f t="shared" si="123"/>
        <v>#VALUE!</v>
      </c>
      <c r="BJ89" s="377" t="e">
        <f t="shared" si="124"/>
        <v>#VALUE!</v>
      </c>
      <c r="BK89" s="377" t="e">
        <f t="shared" si="125"/>
        <v>#VALUE!</v>
      </c>
      <c r="BL89" s="377" t="e">
        <f t="shared" si="126"/>
        <v>#VALUE!</v>
      </c>
      <c r="BM89" s="377" t="e">
        <f t="shared" si="127"/>
        <v>#VALUE!</v>
      </c>
      <c r="BN89" s="377" t="e">
        <f t="shared" si="128"/>
        <v>#VALUE!</v>
      </c>
      <c r="BO89" s="377" t="e">
        <f t="shared" si="129"/>
        <v>#VALUE!</v>
      </c>
      <c r="BP89" s="377" t="e">
        <f t="shared" si="130"/>
        <v>#VALUE!</v>
      </c>
      <c r="BQ89" s="377" t="e">
        <f t="shared" si="131"/>
        <v>#VALUE!</v>
      </c>
      <c r="BR89" s="377" t="e">
        <f t="shared" si="132"/>
        <v>#VALUE!</v>
      </c>
    </row>
    <row r="90" spans="1:70" ht="12.75" hidden="1" customHeight="1" x14ac:dyDescent="0.2">
      <c r="A90" s="484" t="str">
        <f t="shared" si="89"/>
        <v/>
      </c>
      <c r="B90" s="485">
        <f t="shared" si="90"/>
        <v>114</v>
      </c>
      <c r="C90" s="486" t="str">
        <f t="shared" si="91"/>
        <v/>
      </c>
      <c r="D90" s="487">
        <f t="shared" si="92"/>
        <v>114</v>
      </c>
      <c r="E90" s="488" t="str">
        <f t="shared" si="93"/>
        <v/>
      </c>
      <c r="F90" s="489">
        <f t="shared" si="94"/>
        <v>-886</v>
      </c>
      <c r="G90" s="490" t="str">
        <f t="shared" si="95"/>
        <v/>
      </c>
      <c r="H90" s="489">
        <f t="shared" si="96"/>
        <v>114</v>
      </c>
      <c r="I90" s="491" t="str">
        <f t="shared" si="97"/>
        <v/>
      </c>
      <c r="J90" s="554">
        <f t="shared" si="98"/>
        <v>-886</v>
      </c>
      <c r="K90" s="526" t="str">
        <f t="shared" si="99"/>
        <v/>
      </c>
      <c r="L90" s="585" t="s">
        <v>230</v>
      </c>
      <c r="M90" s="556" t="s">
        <v>170</v>
      </c>
      <c r="N90" s="557" t="str">
        <f>IF(M90="","m","")</f>
        <v/>
      </c>
      <c r="O90" s="558"/>
      <c r="P90" s="559" t="s">
        <v>269</v>
      </c>
      <c r="Q90" s="560" t="s">
        <v>148</v>
      </c>
      <c r="R90" s="539">
        <f>(IF(COUNT(Z90,AA90,AB90,AC90,AD90,AE90,AF90,AG90,AH90,AI90)&lt;10,SUM(Z90,AA90,AB90,AC90,AD90,AE90,AF90,AG90,AH90,AI90),SUM(LARGE((Z90,AA90,AB90,AC90,AD90,AE90,AF90,AG90,AH90,AI90),{1;2;3;4;5;6;7;8;9}))))</f>
        <v>0</v>
      </c>
      <c r="S90" s="561" t="str">
        <f>INDEX([1]ETAPP!B$1:B$32,MATCH(COUNTIF(BI90:BR90,1),[1]ETAPP!A$1:A$32,0))&amp;INDEX([1]ETAPP!B$1:B$32,MATCH(COUNTIF(BI90:BR90,2),[1]ETAPP!A$1:A$32,0))&amp;INDEX([1]ETAPP!B$1:B$32,MATCH(COUNTIF(BI90:BR90,3),[1]ETAPP!A$1:A$32,0))&amp;INDEX([1]ETAPP!B$1:B$32,MATCH(COUNTIF(BI90:BR90,4),[1]ETAPP!A$1:A$32,0))&amp;INDEX([1]ETAPP!B$1:B$32,MATCH(COUNTIF(BI90:BR90,5),[1]ETAPP!A$1:A$32,0))&amp;INDEX([1]ETAPP!B$1:B$32,MATCH(COUNTIF(BI90:BR90,6),[1]ETAPP!A$1:A$32,0))&amp;INDEX([1]ETAPP!B$1:B$32,MATCH(COUNTIF(BI90:BR90,7),[1]ETAPP!A$1:A$32,0))&amp;INDEX([1]ETAPP!B$1:B$32,MATCH(COUNTIF(BI90:BR90,8),[1]ETAPP!A$1:A$32,0))&amp;INDEX([1]ETAPP!B$1:B$32,MATCH(COUNTIF(BI90:BR90,9),[1]ETAPP!A$1:A$32,0))&amp;INDEX([1]ETAPP!B$1:B$32,MATCH(COUNTIF(BI90:BR90,10),[1]ETAPP!A$1:A$32,0))&amp;INDEX([1]ETAPP!B$1:B$32,MATCH(COUNTIF(BI90:BR90,11),[1]ETAPP!A$1:A$32,0))&amp;INDEX([1]ETAPP!B$1:B$32,MATCH(COUNTIF(BI90:BR90,12),[1]ETAPP!A$1:A$32,0))&amp;INDEX([1]ETAPP!B$1:B$32,MATCH(COUNTIF(BI90:BR90,13),[1]ETAPP!A$1:A$32,0))&amp;INDEX([1]ETAPP!B$1:B$32,MATCH(COUNTIF(BI90:BR90,14),[1]ETAPP!A$1:A$32,0))&amp;INDEX([1]ETAPP!B$1:B$32,MATCH(COUNTIF(BI90:BR90,15),[1]ETAPP!A$1:A$32,0))&amp;INDEX([1]ETAPP!B$1:B$32,MATCH(COUNTIF(BI90:BR90,16),[1]ETAPP!A$1:A$32,0))&amp;INDEX([1]ETAPP!B$1:B$32,MATCH(COUNTIF(BI90:BR90,17),[1]ETAPP!A$1:A$32,0))&amp;INDEX([1]ETAPP!B$1:B$32,MATCH(COUNTIF(BI90:BR90,18),[1]ETAPP!A$1:A$32,0))&amp;INDEX([1]ETAPP!B$1:B$32,MATCH(COUNTIF(BI90:BR90,19),[1]ETAPP!A$1:A$32,0))&amp;INDEX([1]ETAPP!B$1:B$32,MATCH(COUNTIF(BI90:BR90,20),[1]ETAPP!A$1:A$32,0))&amp;INDEX([1]ETAPP!B$1:B$32,MATCH(COUNTIF(BI90:BR90,21),[1]ETAPP!A$1:A$32,0))</f>
        <v>000000000000000000000</v>
      </c>
      <c r="T90" s="561" t="str">
        <f t="shared" si="100"/>
        <v>000,0-000000000000000000000</v>
      </c>
      <c r="U90" s="561">
        <f t="shared" si="101"/>
        <v>114</v>
      </c>
      <c r="V90" s="561">
        <f t="shared" si="102"/>
        <v>61</v>
      </c>
      <c r="W90" s="561" t="str">
        <f t="shared" si="103"/>
        <v>000,0-000000000000000000000-061</v>
      </c>
      <c r="X90" s="561">
        <f t="shared" si="104"/>
        <v>84</v>
      </c>
      <c r="Y90" s="562">
        <f t="shared" si="105"/>
        <v>31</v>
      </c>
      <c r="Z90" s="563" t="str">
        <f>IFERROR(INDEX('V1'!C$300:C$400,MATCH("*"&amp;L90&amp;"*",'V1'!B$300:B$400,0)),"  ")</f>
        <v xml:space="preserve">  </v>
      </c>
      <c r="AA90" s="563" t="str">
        <f>IFERROR(INDEX('V2'!C$300:C$400,MATCH("*"&amp;L90&amp;"*",'V2'!B$300:B$400,0)),"  ")</f>
        <v xml:space="preserve">  </v>
      </c>
      <c r="AB90" s="563" t="str">
        <f>IFERROR(INDEX('V3'!C$300:C$400,MATCH("*"&amp;L90&amp;"*",'V3'!B$300:B$400,0)),"  ")</f>
        <v xml:space="preserve">  </v>
      </c>
      <c r="AC90" s="563" t="str">
        <f>IFERROR(INDEX('V4'!C$300:C$400,MATCH("*"&amp;L90&amp;"*",'V4'!B$300:B$400,0)),"  ")</f>
        <v xml:space="preserve">  </v>
      </c>
      <c r="AD90" s="563" t="str">
        <f>IFERROR(INDEX('V5'!C$300:C$400,MATCH("*"&amp;L90&amp;"*",'V5'!B$300:B$400,0)),"  ")</f>
        <v xml:space="preserve">  </v>
      </c>
      <c r="AE90" s="563" t="str">
        <f>IFERROR(INDEX('V6'!C$300:C$400,MATCH("*"&amp;L90&amp;"*",'V6'!B$300:B$400,0)),"  ")</f>
        <v xml:space="preserve">  </v>
      </c>
      <c r="AF90" s="563" t="str">
        <f>IFERROR(INDEX('V7'!C$300:C$400,MATCH("*"&amp;L90&amp;"*",'V7'!B$300:B$400,0)),"  ")</f>
        <v xml:space="preserve">  </v>
      </c>
      <c r="AG90" s="563" t="str">
        <f>IFERROR(INDEX('V8'!C$300:C$400,MATCH("*"&amp;L90&amp;"*",'V8'!B$300:B$400,0)),"  ")</f>
        <v xml:space="preserve">  </v>
      </c>
      <c r="AH90" s="563" t="str">
        <f>IFERROR(INDEX('V9'!C$300:C$400,MATCH("*"&amp;L90&amp;"*",'V9'!B$300:B$400,0)),"  ")</f>
        <v xml:space="preserve">  </v>
      </c>
      <c r="AI90" s="563" t="str">
        <f>IFERROR(INDEX('V10'!C$300:C$400,MATCH("*"&amp;L90&amp;"*",'V10'!B$300:B$400,0)),"  ")</f>
        <v xml:space="preserve">  </v>
      </c>
      <c r="AJ90" s="564" t="str">
        <f t="shared" si="106"/>
        <v/>
      </c>
      <c r="AK90" s="565">
        <f t="shared" si="107"/>
        <v>0</v>
      </c>
      <c r="AL90" s="566" t="str">
        <f t="shared" si="108"/>
        <v/>
      </c>
      <c r="AM90" s="567" t="str">
        <f>IFERROR(INDEX(#REF!,MATCH("*"&amp;L90&amp;"*",#REF!,0)),"  ")</f>
        <v xml:space="preserve">  </v>
      </c>
      <c r="AN90" s="568">
        <f t="shared" si="109"/>
        <v>0</v>
      </c>
      <c r="AO90" s="469">
        <f t="shared" si="110"/>
        <v>0</v>
      </c>
      <c r="AP90" s="469">
        <f t="shared" si="111"/>
        <v>0</v>
      </c>
      <c r="AQ90" s="569"/>
      <c r="AR90" s="569"/>
      <c r="AS90" s="569"/>
      <c r="AT90" s="570">
        <f t="shared" si="112"/>
        <v>1E-4</v>
      </c>
      <c r="AU90" s="571">
        <f t="shared" si="113"/>
        <v>1E-4</v>
      </c>
      <c r="AV90" s="571">
        <f t="shared" si="114"/>
        <v>2.0000000000000001E-4</v>
      </c>
      <c r="AW90" s="571">
        <f t="shared" si="115"/>
        <v>2.9999999999999997E-4</v>
      </c>
      <c r="AX90" s="571">
        <f t="shared" si="116"/>
        <v>4.0000000000000002E-4</v>
      </c>
      <c r="AY90" s="571">
        <f t="shared" si="117"/>
        <v>5.0000000000000001E-4</v>
      </c>
      <c r="AZ90" s="571">
        <f t="shared" si="118"/>
        <v>5.9999999999999995E-4</v>
      </c>
      <c r="BA90" s="571">
        <f t="shared" si="119"/>
        <v>6.9999999999999999E-4</v>
      </c>
      <c r="BB90" s="571">
        <f t="shared" si="120"/>
        <v>8.0000000000000004E-4</v>
      </c>
      <c r="BC90" s="571">
        <f t="shared" si="121"/>
        <v>8.9999999999999998E-4</v>
      </c>
      <c r="BD90" s="571">
        <f t="shared" si="122"/>
        <v>1E-3</v>
      </c>
      <c r="BE90" s="569"/>
      <c r="BF90" s="569"/>
      <c r="BG90" s="569"/>
      <c r="BH90" s="569"/>
      <c r="BI90" s="377" t="e">
        <f t="shared" si="123"/>
        <v>#VALUE!</v>
      </c>
      <c r="BJ90" s="377" t="e">
        <f t="shared" si="124"/>
        <v>#VALUE!</v>
      </c>
      <c r="BK90" s="377" t="e">
        <f t="shared" si="125"/>
        <v>#VALUE!</v>
      </c>
      <c r="BL90" s="377" t="e">
        <f t="shared" si="126"/>
        <v>#VALUE!</v>
      </c>
      <c r="BM90" s="377" t="e">
        <f t="shared" si="127"/>
        <v>#VALUE!</v>
      </c>
      <c r="BN90" s="377" t="e">
        <f t="shared" si="128"/>
        <v>#VALUE!</v>
      </c>
      <c r="BO90" s="377" t="e">
        <f t="shared" si="129"/>
        <v>#VALUE!</v>
      </c>
      <c r="BP90" s="377" t="e">
        <f t="shared" si="130"/>
        <v>#VALUE!</v>
      </c>
      <c r="BQ90" s="377" t="e">
        <f t="shared" si="131"/>
        <v>#VALUE!</v>
      </c>
      <c r="BR90" s="377" t="e">
        <f t="shared" si="132"/>
        <v>#VALUE!</v>
      </c>
    </row>
    <row r="91" spans="1:70" ht="12.75" hidden="1" customHeight="1" x14ac:dyDescent="0.2">
      <c r="A91" s="484" t="str">
        <f t="shared" si="89"/>
        <v/>
      </c>
      <c r="B91" s="485">
        <f t="shared" si="90"/>
        <v>114</v>
      </c>
      <c r="C91" s="486" t="str">
        <f t="shared" si="91"/>
        <v/>
      </c>
      <c r="D91" s="487">
        <f t="shared" si="92"/>
        <v>114</v>
      </c>
      <c r="E91" s="488" t="str">
        <f t="shared" si="93"/>
        <v/>
      </c>
      <c r="F91" s="489">
        <f t="shared" si="94"/>
        <v>-886</v>
      </c>
      <c r="G91" s="490" t="str">
        <f t="shared" si="95"/>
        <v/>
      </c>
      <c r="H91" s="489">
        <f t="shared" si="96"/>
        <v>114</v>
      </c>
      <c r="I91" s="491" t="str">
        <f t="shared" si="97"/>
        <v/>
      </c>
      <c r="J91" s="554">
        <f t="shared" si="98"/>
        <v>-886</v>
      </c>
      <c r="K91" s="526" t="str">
        <f t="shared" si="99"/>
        <v/>
      </c>
      <c r="L91" s="555" t="s">
        <v>232</v>
      </c>
      <c r="M91" s="556" t="s">
        <v>170</v>
      </c>
      <c r="N91" s="557" t="str">
        <f>IF(M91="","m","")</f>
        <v/>
      </c>
      <c r="O91" s="558"/>
      <c r="P91" s="559" t="s">
        <v>269</v>
      </c>
      <c r="Q91" s="560" t="s">
        <v>148</v>
      </c>
      <c r="R91" s="539">
        <f>(IF(COUNT(Z91,AA91,AB91,AC91,AD91,AE91,AF91,AG91,AH91,AI91)&lt;10,SUM(Z91,AA91,AB91,AC91,AD91,AE91,AF91,AG91,AH91,AI91),SUM(LARGE((Z91,AA91,AB91,AC91,AD91,AE91,AF91,AG91,AH91,AI91),{1;2;3;4;5;6;7;8;9}))))</f>
        <v>0</v>
      </c>
      <c r="S91" s="561" t="str">
        <f>INDEX([1]ETAPP!B$1:B$32,MATCH(COUNTIF(BI91:BR91,1),[1]ETAPP!A$1:A$32,0))&amp;INDEX([1]ETAPP!B$1:B$32,MATCH(COUNTIF(BI91:BR91,2),[1]ETAPP!A$1:A$32,0))&amp;INDEX([1]ETAPP!B$1:B$32,MATCH(COUNTIF(BI91:BR91,3),[1]ETAPP!A$1:A$32,0))&amp;INDEX([1]ETAPP!B$1:B$32,MATCH(COUNTIF(BI91:BR91,4),[1]ETAPP!A$1:A$32,0))&amp;INDEX([1]ETAPP!B$1:B$32,MATCH(COUNTIF(BI91:BR91,5),[1]ETAPP!A$1:A$32,0))&amp;INDEX([1]ETAPP!B$1:B$32,MATCH(COUNTIF(BI91:BR91,6),[1]ETAPP!A$1:A$32,0))&amp;INDEX([1]ETAPP!B$1:B$32,MATCH(COUNTIF(BI91:BR91,7),[1]ETAPP!A$1:A$32,0))&amp;INDEX([1]ETAPP!B$1:B$32,MATCH(COUNTIF(BI91:BR91,8),[1]ETAPP!A$1:A$32,0))&amp;INDEX([1]ETAPP!B$1:B$32,MATCH(COUNTIF(BI91:BR91,9),[1]ETAPP!A$1:A$32,0))&amp;INDEX([1]ETAPP!B$1:B$32,MATCH(COUNTIF(BI91:BR91,10),[1]ETAPP!A$1:A$32,0))&amp;INDEX([1]ETAPP!B$1:B$32,MATCH(COUNTIF(BI91:BR91,11),[1]ETAPP!A$1:A$32,0))&amp;INDEX([1]ETAPP!B$1:B$32,MATCH(COUNTIF(BI91:BR91,12),[1]ETAPP!A$1:A$32,0))&amp;INDEX([1]ETAPP!B$1:B$32,MATCH(COUNTIF(BI91:BR91,13),[1]ETAPP!A$1:A$32,0))&amp;INDEX([1]ETAPP!B$1:B$32,MATCH(COUNTIF(BI91:BR91,14),[1]ETAPP!A$1:A$32,0))&amp;INDEX([1]ETAPP!B$1:B$32,MATCH(COUNTIF(BI91:BR91,15),[1]ETAPP!A$1:A$32,0))&amp;INDEX([1]ETAPP!B$1:B$32,MATCH(COUNTIF(BI91:BR91,16),[1]ETAPP!A$1:A$32,0))&amp;INDEX([1]ETAPP!B$1:B$32,MATCH(COUNTIF(BI91:BR91,17),[1]ETAPP!A$1:A$32,0))&amp;INDEX([1]ETAPP!B$1:B$32,MATCH(COUNTIF(BI91:BR91,18),[1]ETAPP!A$1:A$32,0))&amp;INDEX([1]ETAPP!B$1:B$32,MATCH(COUNTIF(BI91:BR91,19),[1]ETAPP!A$1:A$32,0))&amp;INDEX([1]ETAPP!B$1:B$32,MATCH(COUNTIF(BI91:BR91,20),[1]ETAPP!A$1:A$32,0))&amp;INDEX([1]ETAPP!B$1:B$32,MATCH(COUNTIF(BI91:BR91,21),[1]ETAPP!A$1:A$32,0))</f>
        <v>000000000000000000000</v>
      </c>
      <c r="T91" s="561" t="str">
        <f t="shared" si="100"/>
        <v>000,0-000000000000000000000</v>
      </c>
      <c r="U91" s="561">
        <f t="shared" si="101"/>
        <v>114</v>
      </c>
      <c r="V91" s="561">
        <f t="shared" si="102"/>
        <v>59</v>
      </c>
      <c r="W91" s="561" t="str">
        <f t="shared" si="103"/>
        <v>000,0-000000000000000000000-059</v>
      </c>
      <c r="X91" s="561">
        <f t="shared" si="104"/>
        <v>85</v>
      </c>
      <c r="Y91" s="562">
        <f t="shared" si="105"/>
        <v>30</v>
      </c>
      <c r="Z91" s="563" t="str">
        <f>IFERROR(INDEX('V1'!C$300:C$400,MATCH("*"&amp;L91&amp;"*",'V1'!B$300:B$400,0)),"  ")</f>
        <v xml:space="preserve">  </v>
      </c>
      <c r="AA91" s="563" t="str">
        <f>IFERROR(INDEX('V2'!C$300:C$400,MATCH("*"&amp;L91&amp;"*",'V2'!B$300:B$400,0)),"  ")</f>
        <v xml:space="preserve">  </v>
      </c>
      <c r="AB91" s="563" t="str">
        <f>IFERROR(INDEX('V3'!C$300:C$400,MATCH("*"&amp;L91&amp;"*",'V3'!B$300:B$400,0)),"  ")</f>
        <v xml:space="preserve">  </v>
      </c>
      <c r="AC91" s="563" t="str">
        <f>IFERROR(INDEX('V4'!C$300:C$400,MATCH("*"&amp;L91&amp;"*",'V4'!B$300:B$400,0)),"  ")</f>
        <v xml:space="preserve">  </v>
      </c>
      <c r="AD91" s="563" t="str">
        <f>IFERROR(INDEX('V5'!C$300:C$400,MATCH("*"&amp;L91&amp;"*",'V5'!B$300:B$400,0)),"  ")</f>
        <v xml:space="preserve">  </v>
      </c>
      <c r="AE91" s="563" t="str">
        <f>IFERROR(INDEX('V6'!C$300:C$400,MATCH("*"&amp;L91&amp;"*",'V6'!B$300:B$400,0)),"  ")</f>
        <v xml:space="preserve">  </v>
      </c>
      <c r="AF91" s="563" t="str">
        <f>IFERROR(INDEX('V7'!C$300:C$400,MATCH("*"&amp;L91&amp;"*",'V7'!B$300:B$400,0)),"  ")</f>
        <v xml:space="preserve">  </v>
      </c>
      <c r="AG91" s="563" t="str">
        <f>IFERROR(INDEX('V8'!C$300:C$400,MATCH("*"&amp;L91&amp;"*",'V8'!B$300:B$400,0)),"  ")</f>
        <v xml:space="preserve">  </v>
      </c>
      <c r="AH91" s="563" t="str">
        <f>IFERROR(INDEX('V9'!C$300:C$400,MATCH("*"&amp;L91&amp;"*",'V9'!B$300:B$400,0)),"  ")</f>
        <v xml:space="preserve">  </v>
      </c>
      <c r="AI91" s="563" t="str">
        <f>IFERROR(INDEX('V10'!C$300:C$400,MATCH("*"&amp;L91&amp;"*",'V10'!B$300:B$400,0)),"  ")</f>
        <v xml:space="preserve">  </v>
      </c>
      <c r="AJ91" s="564" t="str">
        <f t="shared" si="106"/>
        <v/>
      </c>
      <c r="AK91" s="565">
        <f t="shared" si="107"/>
        <v>0</v>
      </c>
      <c r="AL91" s="566" t="str">
        <f t="shared" si="108"/>
        <v/>
      </c>
      <c r="AM91" s="567" t="str">
        <f>IFERROR(INDEX(#REF!,MATCH("*"&amp;L91&amp;"*",#REF!,0)),"  ")</f>
        <v xml:space="preserve">  </v>
      </c>
      <c r="AN91" s="568">
        <f t="shared" si="109"/>
        <v>0</v>
      </c>
      <c r="AO91" s="469">
        <f t="shared" si="110"/>
        <v>0</v>
      </c>
      <c r="AP91" s="469">
        <f t="shared" si="111"/>
        <v>0</v>
      </c>
      <c r="AQ91" s="569"/>
      <c r="AR91" s="569"/>
      <c r="AS91" s="569"/>
      <c r="AT91" s="570">
        <f t="shared" si="112"/>
        <v>1E-4</v>
      </c>
      <c r="AU91" s="571">
        <f t="shared" si="113"/>
        <v>1E-4</v>
      </c>
      <c r="AV91" s="571">
        <f t="shared" si="114"/>
        <v>2.0000000000000001E-4</v>
      </c>
      <c r="AW91" s="571">
        <f t="shared" si="115"/>
        <v>2.9999999999999997E-4</v>
      </c>
      <c r="AX91" s="571">
        <f t="shared" si="116"/>
        <v>4.0000000000000002E-4</v>
      </c>
      <c r="AY91" s="571">
        <f t="shared" si="117"/>
        <v>5.0000000000000001E-4</v>
      </c>
      <c r="AZ91" s="571">
        <f t="shared" si="118"/>
        <v>5.9999999999999995E-4</v>
      </c>
      <c r="BA91" s="571">
        <f t="shared" si="119"/>
        <v>6.9999999999999999E-4</v>
      </c>
      <c r="BB91" s="571">
        <f t="shared" si="120"/>
        <v>8.0000000000000004E-4</v>
      </c>
      <c r="BC91" s="571">
        <f t="shared" si="121"/>
        <v>8.9999999999999998E-4</v>
      </c>
      <c r="BD91" s="571">
        <f t="shared" si="122"/>
        <v>1E-3</v>
      </c>
      <c r="BE91" s="569"/>
      <c r="BF91" s="569"/>
      <c r="BG91" s="569"/>
      <c r="BH91" s="569"/>
      <c r="BI91" s="377" t="e">
        <f t="shared" si="123"/>
        <v>#VALUE!</v>
      </c>
      <c r="BJ91" s="377" t="e">
        <f t="shared" si="124"/>
        <v>#VALUE!</v>
      </c>
      <c r="BK91" s="377" t="e">
        <f t="shared" si="125"/>
        <v>#VALUE!</v>
      </c>
      <c r="BL91" s="377" t="e">
        <f t="shared" si="126"/>
        <v>#VALUE!</v>
      </c>
      <c r="BM91" s="377" t="e">
        <f t="shared" si="127"/>
        <v>#VALUE!</v>
      </c>
      <c r="BN91" s="377" t="e">
        <f t="shared" si="128"/>
        <v>#VALUE!</v>
      </c>
      <c r="BO91" s="377" t="e">
        <f t="shared" si="129"/>
        <v>#VALUE!</v>
      </c>
      <c r="BP91" s="377" t="e">
        <f t="shared" si="130"/>
        <v>#VALUE!</v>
      </c>
      <c r="BQ91" s="377" t="e">
        <f t="shared" si="131"/>
        <v>#VALUE!</v>
      </c>
      <c r="BR91" s="377" t="e">
        <f t="shared" si="132"/>
        <v>#VALUE!</v>
      </c>
    </row>
    <row r="92" spans="1:70" ht="12.75" hidden="1" customHeight="1" x14ac:dyDescent="0.2">
      <c r="A92" s="484" t="str">
        <f t="shared" si="89"/>
        <v/>
      </c>
      <c r="B92" s="485">
        <f t="shared" si="90"/>
        <v>-886</v>
      </c>
      <c r="C92" s="486" t="str">
        <f t="shared" si="91"/>
        <v/>
      </c>
      <c r="D92" s="487">
        <f t="shared" si="92"/>
        <v>-886</v>
      </c>
      <c r="E92" s="488" t="str">
        <f t="shared" si="93"/>
        <v/>
      </c>
      <c r="F92" s="489">
        <f t="shared" si="94"/>
        <v>-886</v>
      </c>
      <c r="G92" s="490" t="str">
        <f t="shared" si="95"/>
        <v/>
      </c>
      <c r="H92" s="489">
        <f t="shared" si="96"/>
        <v>114</v>
      </c>
      <c r="I92" s="491" t="str">
        <f t="shared" si="97"/>
        <v/>
      </c>
      <c r="J92" s="554">
        <f t="shared" si="98"/>
        <v>-886</v>
      </c>
      <c r="K92" s="526" t="str">
        <f t="shared" si="99"/>
        <v/>
      </c>
      <c r="L92" s="555" t="s">
        <v>287</v>
      </c>
      <c r="M92" s="556" t="s">
        <v>170</v>
      </c>
      <c r="N92" s="557"/>
      <c r="O92" s="579"/>
      <c r="P92" s="559"/>
      <c r="Q92" s="560"/>
      <c r="R92" s="539">
        <f>(IF(COUNT(Z92,AA92,AB92,AC92,AD92,AE92,AF92,AG92,AH92,AI92)&lt;10,SUM(Z92,AA92,AB92,AC92,AD92,AE92,AF92,AG92,AH92,AI92),SUM(LARGE((Z92,AA92,AB92,AC92,AD92,AE92,AF92,AG92,AH92,AI92),{1;2;3;4;5;6;7;8;9}))))</f>
        <v>0</v>
      </c>
      <c r="S92" s="561" t="str">
        <f>INDEX([1]ETAPP!B$1:B$32,MATCH(COUNTIF(BI92:BR92,1),[1]ETAPP!A$1:A$32,0))&amp;INDEX([1]ETAPP!B$1:B$32,MATCH(COUNTIF(BI92:BR92,2),[1]ETAPP!A$1:A$32,0))&amp;INDEX([1]ETAPP!B$1:B$32,MATCH(COUNTIF(BI92:BR92,3),[1]ETAPP!A$1:A$32,0))&amp;INDEX([1]ETAPP!B$1:B$32,MATCH(COUNTIF(BI92:BR92,4),[1]ETAPP!A$1:A$32,0))&amp;INDEX([1]ETAPP!B$1:B$32,MATCH(COUNTIF(BI92:BR92,5),[1]ETAPP!A$1:A$32,0))&amp;INDEX([1]ETAPP!B$1:B$32,MATCH(COUNTIF(BI92:BR92,6),[1]ETAPP!A$1:A$32,0))&amp;INDEX([1]ETAPP!B$1:B$32,MATCH(COUNTIF(BI92:BR92,7),[1]ETAPP!A$1:A$32,0))&amp;INDEX([1]ETAPP!B$1:B$32,MATCH(COUNTIF(BI92:BR92,8),[1]ETAPP!A$1:A$32,0))&amp;INDEX([1]ETAPP!B$1:B$32,MATCH(COUNTIF(BI92:BR92,9),[1]ETAPP!A$1:A$32,0))&amp;INDEX([1]ETAPP!B$1:B$32,MATCH(COUNTIF(BI92:BR92,10),[1]ETAPP!A$1:A$32,0))&amp;INDEX([1]ETAPP!B$1:B$32,MATCH(COUNTIF(BI92:BR92,11),[1]ETAPP!A$1:A$32,0))&amp;INDEX([1]ETAPP!B$1:B$32,MATCH(COUNTIF(BI92:BR92,12),[1]ETAPP!A$1:A$32,0))&amp;INDEX([1]ETAPP!B$1:B$32,MATCH(COUNTIF(BI92:BR92,13),[1]ETAPP!A$1:A$32,0))&amp;INDEX([1]ETAPP!B$1:B$32,MATCH(COUNTIF(BI92:BR92,14),[1]ETAPP!A$1:A$32,0))&amp;INDEX([1]ETAPP!B$1:B$32,MATCH(COUNTIF(BI92:BR92,15),[1]ETAPP!A$1:A$32,0))&amp;INDEX([1]ETAPP!B$1:B$32,MATCH(COUNTIF(BI92:BR92,16),[1]ETAPP!A$1:A$32,0))&amp;INDEX([1]ETAPP!B$1:B$32,MATCH(COUNTIF(BI92:BR92,17),[1]ETAPP!A$1:A$32,0))&amp;INDEX([1]ETAPP!B$1:B$32,MATCH(COUNTIF(BI92:BR92,18),[1]ETAPP!A$1:A$32,0))&amp;INDEX([1]ETAPP!B$1:B$32,MATCH(COUNTIF(BI92:BR92,19),[1]ETAPP!A$1:A$32,0))&amp;INDEX([1]ETAPP!B$1:B$32,MATCH(COUNTIF(BI92:BR92,20),[1]ETAPP!A$1:A$32,0))&amp;INDEX([1]ETAPP!B$1:B$32,MATCH(COUNTIF(BI92:BR92,21),[1]ETAPP!A$1:A$32,0))</f>
        <v>000000000000000000000</v>
      </c>
      <c r="T92" s="561" t="str">
        <f t="shared" si="100"/>
        <v>000,0-000000000000000000000</v>
      </c>
      <c r="U92" s="561">
        <f t="shared" si="101"/>
        <v>114</v>
      </c>
      <c r="V92" s="561">
        <f t="shared" si="102"/>
        <v>55</v>
      </c>
      <c r="W92" s="561" t="str">
        <f t="shared" si="103"/>
        <v>000,0-000000000000000000000-055</v>
      </c>
      <c r="X92" s="561">
        <f t="shared" si="104"/>
        <v>86</v>
      </c>
      <c r="Y92" s="562">
        <f t="shared" si="105"/>
        <v>29</v>
      </c>
      <c r="Z92" s="563" t="str">
        <f>IFERROR(INDEX('V1'!C$300:C$400,MATCH("*"&amp;L92&amp;"*",'V1'!B$300:B$400,0)),"  ")</f>
        <v xml:space="preserve">  </v>
      </c>
      <c r="AA92" s="563" t="str">
        <f>IFERROR(INDEX('V2'!C$300:C$400,MATCH("*"&amp;L92&amp;"*",'V2'!B$300:B$400,0)),"  ")</f>
        <v xml:space="preserve">  </v>
      </c>
      <c r="AB92" s="563" t="str">
        <f>IFERROR(INDEX('V3'!C$300:C$400,MATCH("*"&amp;L92&amp;"*",'V3'!B$300:B$400,0)),"  ")</f>
        <v xml:space="preserve">  </v>
      </c>
      <c r="AC92" s="563" t="str">
        <f>IFERROR(INDEX('V4'!C$300:C$400,MATCH("*"&amp;L92&amp;"*",'V4'!B$300:B$400,0)),"  ")</f>
        <v xml:space="preserve">  </v>
      </c>
      <c r="AD92" s="563" t="str">
        <f>IFERROR(INDEX('V5'!C$300:C$400,MATCH("*"&amp;L92&amp;"*",'V5'!B$300:B$400,0)),"  ")</f>
        <v xml:space="preserve">  </v>
      </c>
      <c r="AE92" s="563" t="str">
        <f>IFERROR(INDEX('V6'!C$300:C$400,MATCH("*"&amp;L92&amp;"*",'V6'!B$300:B$400,0)),"  ")</f>
        <v xml:space="preserve">  </v>
      </c>
      <c r="AF92" s="563" t="str">
        <f>IFERROR(INDEX('V7'!C$300:C$400,MATCH("*"&amp;L92&amp;"*",'V7'!B$300:B$400,0)),"  ")</f>
        <v xml:space="preserve">  </v>
      </c>
      <c r="AG92" s="563" t="str">
        <f>IFERROR(INDEX('V8'!C$300:C$400,MATCH("*"&amp;L92&amp;"*",'V8'!B$300:B$400,0)),"  ")</f>
        <v xml:space="preserve">  </v>
      </c>
      <c r="AH92" s="563" t="str">
        <f>IFERROR(INDEX('V9'!C$300:C$400,MATCH("*"&amp;L92&amp;"*",'V9'!B$300:B$400,0)),"  ")</f>
        <v xml:space="preserve">  </v>
      </c>
      <c r="AI92" s="563" t="str">
        <f>IFERROR(INDEX('V10'!C$300:C$400,MATCH("*"&amp;L92&amp;"*",'V10'!B$300:B$400,0)),"  ")</f>
        <v xml:space="preserve">  </v>
      </c>
      <c r="AJ92" s="564" t="str">
        <f t="shared" si="106"/>
        <v/>
      </c>
      <c r="AK92" s="565">
        <f t="shared" si="107"/>
        <v>0</v>
      </c>
      <c r="AL92" s="566" t="str">
        <f t="shared" si="108"/>
        <v/>
      </c>
      <c r="AM92" s="567" t="str">
        <f>IFERROR(INDEX(#REF!,MATCH("*"&amp;L92&amp;"*",#REF!,0)),"  ")</f>
        <v xml:space="preserve">  </v>
      </c>
      <c r="AN92" s="568">
        <f t="shared" si="109"/>
        <v>0</v>
      </c>
      <c r="AO92" s="469">
        <f t="shared" si="110"/>
        <v>0</v>
      </c>
      <c r="AP92" s="469">
        <f t="shared" si="111"/>
        <v>0</v>
      </c>
      <c r="AQ92" s="569"/>
      <c r="AR92" s="569"/>
      <c r="AS92" s="569"/>
      <c r="AT92" s="570">
        <f t="shared" si="112"/>
        <v>1E-4</v>
      </c>
      <c r="AU92" s="571">
        <f t="shared" si="113"/>
        <v>1E-4</v>
      </c>
      <c r="AV92" s="571">
        <f t="shared" si="114"/>
        <v>2.0000000000000001E-4</v>
      </c>
      <c r="AW92" s="571">
        <f t="shared" si="115"/>
        <v>2.9999999999999997E-4</v>
      </c>
      <c r="AX92" s="571">
        <f t="shared" si="116"/>
        <v>4.0000000000000002E-4</v>
      </c>
      <c r="AY92" s="571">
        <f t="shared" si="117"/>
        <v>5.0000000000000001E-4</v>
      </c>
      <c r="AZ92" s="571">
        <f t="shared" si="118"/>
        <v>5.9999999999999995E-4</v>
      </c>
      <c r="BA92" s="571">
        <f t="shared" si="119"/>
        <v>6.9999999999999999E-4</v>
      </c>
      <c r="BB92" s="571">
        <f t="shared" si="120"/>
        <v>8.0000000000000004E-4</v>
      </c>
      <c r="BC92" s="571">
        <f t="shared" si="121"/>
        <v>8.9999999999999998E-4</v>
      </c>
      <c r="BD92" s="571">
        <f t="shared" si="122"/>
        <v>1E-3</v>
      </c>
      <c r="BE92" s="569"/>
      <c r="BF92" s="569"/>
      <c r="BG92" s="569"/>
      <c r="BH92" s="569"/>
      <c r="BI92" s="377" t="e">
        <f t="shared" si="123"/>
        <v>#VALUE!</v>
      </c>
      <c r="BJ92" s="377" t="e">
        <f t="shared" si="124"/>
        <v>#VALUE!</v>
      </c>
      <c r="BK92" s="377" t="e">
        <f t="shared" si="125"/>
        <v>#VALUE!</v>
      </c>
      <c r="BL92" s="377" t="e">
        <f t="shared" si="126"/>
        <v>#VALUE!</v>
      </c>
      <c r="BM92" s="377" t="e">
        <f t="shared" si="127"/>
        <v>#VALUE!</v>
      </c>
      <c r="BN92" s="377" t="e">
        <f t="shared" si="128"/>
        <v>#VALUE!</v>
      </c>
      <c r="BO92" s="377" t="e">
        <f t="shared" si="129"/>
        <v>#VALUE!</v>
      </c>
      <c r="BP92" s="377" t="e">
        <f t="shared" si="130"/>
        <v>#VALUE!</v>
      </c>
      <c r="BQ92" s="377" t="e">
        <f t="shared" si="131"/>
        <v>#VALUE!</v>
      </c>
      <c r="BR92" s="377" t="e">
        <f t="shared" si="132"/>
        <v>#VALUE!</v>
      </c>
    </row>
    <row r="93" spans="1:70" ht="12.75" hidden="1" customHeight="1" x14ac:dyDescent="0.2">
      <c r="A93" s="484" t="str">
        <f t="shared" si="89"/>
        <v/>
      </c>
      <c r="B93" s="485">
        <f t="shared" si="90"/>
        <v>-886</v>
      </c>
      <c r="C93" s="486" t="str">
        <f t="shared" si="91"/>
        <v/>
      </c>
      <c r="D93" s="487">
        <f t="shared" si="92"/>
        <v>-886</v>
      </c>
      <c r="E93" s="488" t="str">
        <f t="shared" si="93"/>
        <v/>
      </c>
      <c r="F93" s="489">
        <f t="shared" si="94"/>
        <v>114</v>
      </c>
      <c r="G93" s="490" t="str">
        <f t="shared" si="95"/>
        <v/>
      </c>
      <c r="H93" s="489">
        <f t="shared" si="96"/>
        <v>-886</v>
      </c>
      <c r="I93" s="491" t="str">
        <f t="shared" si="97"/>
        <v/>
      </c>
      <c r="J93" s="554">
        <f t="shared" si="98"/>
        <v>-886</v>
      </c>
      <c r="K93" s="526" t="str">
        <f t="shared" si="99"/>
        <v/>
      </c>
      <c r="L93" s="585" t="s">
        <v>234</v>
      </c>
      <c r="M93" s="556"/>
      <c r="N93" s="557" t="str">
        <f>IF(M93="","m","")</f>
        <v>m</v>
      </c>
      <c r="O93" s="558"/>
      <c r="P93" s="559"/>
      <c r="Q93" s="560"/>
      <c r="R93" s="539">
        <f>(IF(COUNT(Z93,AA93,AB93,AC93,AD93,AE93,AF93,AG93,AH93,AI93)&lt;10,SUM(Z93,AA93,AB93,AC93,AD93,AE93,AF93,AG93,AH93,AI93),SUM(LARGE((Z93,AA93,AB93,AC93,AD93,AE93,AF93,AG93,AH93,AI93),{1;2;3;4;5;6;7;8;9}))))</f>
        <v>0</v>
      </c>
      <c r="S93" s="561" t="str">
        <f>INDEX([1]ETAPP!B$1:B$32,MATCH(COUNTIF(BI93:BR93,1),[1]ETAPP!A$1:A$32,0))&amp;INDEX([1]ETAPP!B$1:B$32,MATCH(COUNTIF(BI93:BR93,2),[1]ETAPP!A$1:A$32,0))&amp;INDEX([1]ETAPP!B$1:B$32,MATCH(COUNTIF(BI93:BR93,3),[1]ETAPP!A$1:A$32,0))&amp;INDEX([1]ETAPP!B$1:B$32,MATCH(COUNTIF(BI93:BR93,4),[1]ETAPP!A$1:A$32,0))&amp;INDEX([1]ETAPP!B$1:B$32,MATCH(COUNTIF(BI93:BR93,5),[1]ETAPP!A$1:A$32,0))&amp;INDEX([1]ETAPP!B$1:B$32,MATCH(COUNTIF(BI93:BR93,6),[1]ETAPP!A$1:A$32,0))&amp;INDEX([1]ETAPP!B$1:B$32,MATCH(COUNTIF(BI93:BR93,7),[1]ETAPP!A$1:A$32,0))&amp;INDEX([1]ETAPP!B$1:B$32,MATCH(COUNTIF(BI93:BR93,8),[1]ETAPP!A$1:A$32,0))&amp;INDEX([1]ETAPP!B$1:B$32,MATCH(COUNTIF(BI93:BR93,9),[1]ETAPP!A$1:A$32,0))&amp;INDEX([1]ETAPP!B$1:B$32,MATCH(COUNTIF(BI93:BR93,10),[1]ETAPP!A$1:A$32,0))&amp;INDEX([1]ETAPP!B$1:B$32,MATCH(COUNTIF(BI93:BR93,11),[1]ETAPP!A$1:A$32,0))&amp;INDEX([1]ETAPP!B$1:B$32,MATCH(COUNTIF(BI93:BR93,12),[1]ETAPP!A$1:A$32,0))&amp;INDEX([1]ETAPP!B$1:B$32,MATCH(COUNTIF(BI93:BR93,13),[1]ETAPP!A$1:A$32,0))&amp;INDEX([1]ETAPP!B$1:B$32,MATCH(COUNTIF(BI93:BR93,14),[1]ETAPP!A$1:A$32,0))&amp;INDEX([1]ETAPP!B$1:B$32,MATCH(COUNTIF(BI93:BR93,15),[1]ETAPP!A$1:A$32,0))&amp;INDEX([1]ETAPP!B$1:B$32,MATCH(COUNTIF(BI93:BR93,16),[1]ETAPP!A$1:A$32,0))&amp;INDEX([1]ETAPP!B$1:B$32,MATCH(COUNTIF(BI93:BR93,17),[1]ETAPP!A$1:A$32,0))&amp;INDEX([1]ETAPP!B$1:B$32,MATCH(COUNTIF(BI93:BR93,18),[1]ETAPP!A$1:A$32,0))&amp;INDEX([1]ETAPP!B$1:B$32,MATCH(COUNTIF(BI93:BR93,19),[1]ETAPP!A$1:A$32,0))&amp;INDEX([1]ETAPP!B$1:B$32,MATCH(COUNTIF(BI93:BR93,20),[1]ETAPP!A$1:A$32,0))&amp;INDEX([1]ETAPP!B$1:B$32,MATCH(COUNTIF(BI93:BR93,21),[1]ETAPP!A$1:A$32,0))</f>
        <v>000000000000000000000</v>
      </c>
      <c r="T93" s="561" t="str">
        <f t="shared" si="100"/>
        <v>000,0-000000000000000000000</v>
      </c>
      <c r="U93" s="561">
        <f t="shared" si="101"/>
        <v>114</v>
      </c>
      <c r="V93" s="561">
        <f t="shared" si="102"/>
        <v>54</v>
      </c>
      <c r="W93" s="561" t="str">
        <f t="shared" si="103"/>
        <v>000,0-000000000000000000000-054</v>
      </c>
      <c r="X93" s="561">
        <f t="shared" si="104"/>
        <v>87</v>
      </c>
      <c r="Y93" s="562">
        <f t="shared" si="105"/>
        <v>28</v>
      </c>
      <c r="Z93" s="563" t="str">
        <f>IFERROR(INDEX('V1'!C$300:C$400,MATCH("*"&amp;L93&amp;"*",'V1'!B$300:B$400,0)),"  ")</f>
        <v xml:space="preserve">  </v>
      </c>
      <c r="AA93" s="563" t="str">
        <f>IFERROR(INDEX('V2'!C$300:C$400,MATCH("*"&amp;L93&amp;"*",'V2'!B$300:B$400,0)),"  ")</f>
        <v xml:space="preserve">  </v>
      </c>
      <c r="AB93" s="563" t="str">
        <f>IFERROR(INDEX('V3'!C$300:C$400,MATCH("*"&amp;L93&amp;"*",'V3'!B$300:B$400,0)),"  ")</f>
        <v xml:space="preserve">  </v>
      </c>
      <c r="AC93" s="563" t="str">
        <f>IFERROR(INDEX('V4'!C$300:C$400,MATCH("*"&amp;L93&amp;"*",'V4'!B$300:B$400,0)),"  ")</f>
        <v xml:space="preserve">  </v>
      </c>
      <c r="AD93" s="563" t="str">
        <f>IFERROR(INDEX('V5'!C$300:C$400,MATCH("*"&amp;L93&amp;"*",'V5'!B$300:B$400,0)),"  ")</f>
        <v xml:space="preserve">  </v>
      </c>
      <c r="AE93" s="563" t="str">
        <f>IFERROR(INDEX('V6'!C$300:C$400,MATCH("*"&amp;L93&amp;"*",'V6'!B$300:B$400,0)),"  ")</f>
        <v xml:space="preserve">  </v>
      </c>
      <c r="AF93" s="563" t="str">
        <f>IFERROR(INDEX('V7'!C$300:C$400,MATCH("*"&amp;L93&amp;"*",'V7'!B$300:B$400,0)),"  ")</f>
        <v xml:space="preserve">  </v>
      </c>
      <c r="AG93" s="563" t="str">
        <f>IFERROR(INDEX('V8'!C$300:C$400,MATCH("*"&amp;L93&amp;"*",'V8'!B$300:B$400,0)),"  ")</f>
        <v xml:space="preserve">  </v>
      </c>
      <c r="AH93" s="563" t="str">
        <f>IFERROR(INDEX('V9'!C$300:C$400,MATCH("*"&amp;L93&amp;"*",'V9'!B$300:B$400,0)),"  ")</f>
        <v xml:space="preserve">  </v>
      </c>
      <c r="AI93" s="563" t="str">
        <f>IFERROR(INDEX('V10'!C$300:C$400,MATCH("*"&amp;L93&amp;"*",'V10'!B$300:B$400,0)),"  ")</f>
        <v xml:space="preserve">  </v>
      </c>
      <c r="AJ93" s="564" t="str">
        <f t="shared" si="106"/>
        <v/>
      </c>
      <c r="AK93" s="565">
        <f t="shared" si="107"/>
        <v>0</v>
      </c>
      <c r="AL93" s="566" t="str">
        <f t="shared" si="108"/>
        <v/>
      </c>
      <c r="AM93" s="567" t="str">
        <f>IFERROR(INDEX(#REF!,MATCH("*"&amp;L93&amp;"*",#REF!,0)),"  ")</f>
        <v xml:space="preserve">  </v>
      </c>
      <c r="AN93" s="568">
        <f t="shared" si="109"/>
        <v>0</v>
      </c>
      <c r="AO93" s="469">
        <f t="shared" si="110"/>
        <v>0</v>
      </c>
      <c r="AP93" s="469">
        <f t="shared" si="111"/>
        <v>0</v>
      </c>
      <c r="AQ93" s="569"/>
      <c r="AR93" s="569"/>
      <c r="AS93" s="569"/>
      <c r="AT93" s="570">
        <f t="shared" si="112"/>
        <v>1E-4</v>
      </c>
      <c r="AU93" s="571">
        <f t="shared" si="113"/>
        <v>1E-4</v>
      </c>
      <c r="AV93" s="571">
        <f t="shared" si="114"/>
        <v>2.0000000000000001E-4</v>
      </c>
      <c r="AW93" s="571">
        <f t="shared" si="115"/>
        <v>2.9999999999999997E-4</v>
      </c>
      <c r="AX93" s="571">
        <f t="shared" si="116"/>
        <v>4.0000000000000002E-4</v>
      </c>
      <c r="AY93" s="571">
        <f t="shared" si="117"/>
        <v>5.0000000000000001E-4</v>
      </c>
      <c r="AZ93" s="571">
        <f t="shared" si="118"/>
        <v>5.9999999999999995E-4</v>
      </c>
      <c r="BA93" s="571">
        <f t="shared" si="119"/>
        <v>6.9999999999999999E-4</v>
      </c>
      <c r="BB93" s="571">
        <f t="shared" si="120"/>
        <v>8.0000000000000004E-4</v>
      </c>
      <c r="BC93" s="571">
        <f t="shared" si="121"/>
        <v>8.9999999999999998E-4</v>
      </c>
      <c r="BD93" s="571">
        <f t="shared" si="122"/>
        <v>1E-3</v>
      </c>
      <c r="BE93" s="569"/>
      <c r="BF93" s="569"/>
      <c r="BG93" s="569"/>
      <c r="BH93" s="569"/>
      <c r="BI93" s="377" t="e">
        <f t="shared" si="123"/>
        <v>#VALUE!</v>
      </c>
      <c r="BJ93" s="377" t="e">
        <f t="shared" si="124"/>
        <v>#VALUE!</v>
      </c>
      <c r="BK93" s="377" t="e">
        <f t="shared" si="125"/>
        <v>#VALUE!</v>
      </c>
      <c r="BL93" s="377" t="e">
        <f t="shared" si="126"/>
        <v>#VALUE!</v>
      </c>
      <c r="BM93" s="377" t="e">
        <f t="shared" si="127"/>
        <v>#VALUE!</v>
      </c>
      <c r="BN93" s="377" t="e">
        <f t="shared" si="128"/>
        <v>#VALUE!</v>
      </c>
      <c r="BO93" s="377" t="e">
        <f t="shared" si="129"/>
        <v>#VALUE!</v>
      </c>
      <c r="BP93" s="377" t="e">
        <f t="shared" si="130"/>
        <v>#VALUE!</v>
      </c>
      <c r="BQ93" s="377" t="e">
        <f t="shared" si="131"/>
        <v>#VALUE!</v>
      </c>
      <c r="BR93" s="377" t="e">
        <f t="shared" si="132"/>
        <v>#VALUE!</v>
      </c>
    </row>
    <row r="94" spans="1:70" ht="12.75" hidden="1" customHeight="1" x14ac:dyDescent="0.2">
      <c r="A94" s="484" t="str">
        <f t="shared" si="89"/>
        <v/>
      </c>
      <c r="B94" s="485">
        <f t="shared" si="90"/>
        <v>114</v>
      </c>
      <c r="C94" s="486" t="str">
        <f t="shared" si="91"/>
        <v/>
      </c>
      <c r="D94" s="487">
        <f t="shared" si="92"/>
        <v>-886</v>
      </c>
      <c r="E94" s="488" t="str">
        <f t="shared" si="93"/>
        <v/>
      </c>
      <c r="F94" s="489">
        <f t="shared" si="94"/>
        <v>114</v>
      </c>
      <c r="G94" s="490" t="str">
        <f t="shared" si="95"/>
        <v/>
      </c>
      <c r="H94" s="489">
        <f t="shared" si="96"/>
        <v>-886</v>
      </c>
      <c r="I94" s="491" t="str">
        <f t="shared" si="97"/>
        <v/>
      </c>
      <c r="J94" s="554">
        <f t="shared" si="98"/>
        <v>114</v>
      </c>
      <c r="K94" s="526" t="str">
        <f t="shared" si="99"/>
        <v/>
      </c>
      <c r="L94" s="555" t="s">
        <v>288</v>
      </c>
      <c r="M94" s="556"/>
      <c r="N94" s="557" t="s">
        <v>168</v>
      </c>
      <c r="O94" s="579" t="s">
        <v>190</v>
      </c>
      <c r="P94" s="559"/>
      <c r="Q94" s="560" t="s">
        <v>148</v>
      </c>
      <c r="R94" s="539">
        <f>(IF(COUNT(Z94,AA94,AB94,AC94,AD94,AE94,AF94,AG94,AH94,AI94)&lt;10,SUM(Z94,AA94,AB94,AC94,AD94,AE94,AF94,AG94,AH94,AI94),SUM(LARGE((Z94,AA94,AB94,AC94,AD94,AE94,AF94,AG94,AH94,AI94),{1;2;3;4;5;6;7;8;9}))))</f>
        <v>0</v>
      </c>
      <c r="S94" s="561" t="str">
        <f>INDEX([1]ETAPP!B$1:B$32,MATCH(COUNTIF(BI94:BR94,1),[1]ETAPP!A$1:A$32,0))&amp;INDEX([1]ETAPP!B$1:B$32,MATCH(COUNTIF(BI94:BR94,2),[1]ETAPP!A$1:A$32,0))&amp;INDEX([1]ETAPP!B$1:B$32,MATCH(COUNTIF(BI94:BR94,3),[1]ETAPP!A$1:A$32,0))&amp;INDEX([1]ETAPP!B$1:B$32,MATCH(COUNTIF(BI94:BR94,4),[1]ETAPP!A$1:A$32,0))&amp;INDEX([1]ETAPP!B$1:B$32,MATCH(COUNTIF(BI94:BR94,5),[1]ETAPP!A$1:A$32,0))&amp;INDEX([1]ETAPP!B$1:B$32,MATCH(COUNTIF(BI94:BR94,6),[1]ETAPP!A$1:A$32,0))&amp;INDEX([1]ETAPP!B$1:B$32,MATCH(COUNTIF(BI94:BR94,7),[1]ETAPP!A$1:A$32,0))&amp;INDEX([1]ETAPP!B$1:B$32,MATCH(COUNTIF(BI94:BR94,8),[1]ETAPP!A$1:A$32,0))&amp;INDEX([1]ETAPP!B$1:B$32,MATCH(COUNTIF(BI94:BR94,9),[1]ETAPP!A$1:A$32,0))&amp;INDEX([1]ETAPP!B$1:B$32,MATCH(COUNTIF(BI94:BR94,10),[1]ETAPP!A$1:A$32,0))&amp;INDEX([1]ETAPP!B$1:B$32,MATCH(COUNTIF(BI94:BR94,11),[1]ETAPP!A$1:A$32,0))&amp;INDEX([1]ETAPP!B$1:B$32,MATCH(COUNTIF(BI94:BR94,12),[1]ETAPP!A$1:A$32,0))&amp;INDEX([1]ETAPP!B$1:B$32,MATCH(COUNTIF(BI94:BR94,13),[1]ETAPP!A$1:A$32,0))&amp;INDEX([1]ETAPP!B$1:B$32,MATCH(COUNTIF(BI94:BR94,14),[1]ETAPP!A$1:A$32,0))&amp;INDEX([1]ETAPP!B$1:B$32,MATCH(COUNTIF(BI94:BR94,15),[1]ETAPP!A$1:A$32,0))&amp;INDEX([1]ETAPP!B$1:B$32,MATCH(COUNTIF(BI94:BR94,16),[1]ETAPP!A$1:A$32,0))&amp;INDEX([1]ETAPP!B$1:B$32,MATCH(COUNTIF(BI94:BR94,17),[1]ETAPP!A$1:A$32,0))&amp;INDEX([1]ETAPP!B$1:B$32,MATCH(COUNTIF(BI94:BR94,18),[1]ETAPP!A$1:A$32,0))&amp;INDEX([1]ETAPP!B$1:B$32,MATCH(COUNTIF(BI94:BR94,19),[1]ETAPP!A$1:A$32,0))&amp;INDEX([1]ETAPP!B$1:B$32,MATCH(COUNTIF(BI94:BR94,20),[1]ETAPP!A$1:A$32,0))&amp;INDEX([1]ETAPP!B$1:B$32,MATCH(COUNTIF(BI94:BR94,21),[1]ETAPP!A$1:A$32,0))</f>
        <v>000000000000000000000</v>
      </c>
      <c r="T94" s="561" t="str">
        <f t="shared" si="100"/>
        <v>000,0-000000000000000000000</v>
      </c>
      <c r="U94" s="561">
        <f t="shared" si="101"/>
        <v>114</v>
      </c>
      <c r="V94" s="561">
        <f t="shared" si="102"/>
        <v>52</v>
      </c>
      <c r="W94" s="561" t="str">
        <f t="shared" si="103"/>
        <v>000,0-000000000000000000000-052</v>
      </c>
      <c r="X94" s="561">
        <f t="shared" si="104"/>
        <v>88</v>
      </c>
      <c r="Y94" s="562">
        <f t="shared" si="105"/>
        <v>27</v>
      </c>
      <c r="Z94" s="563" t="str">
        <f>IFERROR(INDEX('V1'!C$300:C$400,MATCH("*"&amp;L94&amp;"*",'V1'!B$300:B$400,0)),"  ")</f>
        <v xml:space="preserve">  </v>
      </c>
      <c r="AA94" s="563" t="str">
        <f>IFERROR(INDEX('V2'!C$300:C$400,MATCH("*"&amp;L94&amp;"*",'V2'!B$300:B$400,0)),"  ")</f>
        <v xml:space="preserve">  </v>
      </c>
      <c r="AB94" s="563" t="str">
        <f>IFERROR(INDEX('V3'!C$300:C$400,MATCH("*"&amp;L94&amp;"*",'V3'!B$300:B$400,0)),"  ")</f>
        <v xml:space="preserve">  </v>
      </c>
      <c r="AC94" s="563" t="str">
        <f>IFERROR(INDEX('V4'!C$300:C$400,MATCH("*"&amp;L94&amp;"*",'V4'!B$300:B$400,0)),"  ")</f>
        <v xml:space="preserve">  </v>
      </c>
      <c r="AD94" s="563" t="str">
        <f>IFERROR(INDEX('V5'!C$300:C$400,MATCH("*"&amp;L94&amp;"*",'V5'!B$300:B$400,0)),"  ")</f>
        <v xml:space="preserve">  </v>
      </c>
      <c r="AE94" s="563" t="str">
        <f>IFERROR(INDEX('V6'!C$300:C$400,MATCH("*"&amp;L94&amp;"*",'V6'!B$300:B$400,0)),"  ")</f>
        <v xml:space="preserve">  </v>
      </c>
      <c r="AF94" s="563" t="str">
        <f>IFERROR(INDEX('V7'!C$300:C$400,MATCH("*"&amp;L94&amp;"*",'V7'!B$300:B$400,0)),"  ")</f>
        <v xml:space="preserve">  </v>
      </c>
      <c r="AG94" s="563" t="str">
        <f>IFERROR(INDEX('V8'!C$300:C$400,MATCH("*"&amp;L94&amp;"*",'V8'!B$300:B$400,0)),"  ")</f>
        <v xml:space="preserve">  </v>
      </c>
      <c r="AH94" s="563" t="str">
        <f>IFERROR(INDEX('V9'!C$300:C$400,MATCH("*"&amp;L94&amp;"*",'V9'!B$300:B$400,0)),"  ")</f>
        <v xml:space="preserve">  </v>
      </c>
      <c r="AI94" s="563" t="str">
        <f>IFERROR(INDEX('V10'!C$300:C$400,MATCH("*"&amp;L94&amp;"*",'V10'!B$300:B$400,0)),"  ")</f>
        <v xml:space="preserve">  </v>
      </c>
      <c r="AJ94" s="564" t="str">
        <f t="shared" si="106"/>
        <v/>
      </c>
      <c r="AK94" s="565">
        <f t="shared" si="107"/>
        <v>0</v>
      </c>
      <c r="AL94" s="566" t="str">
        <f t="shared" si="108"/>
        <v/>
      </c>
      <c r="AM94" s="567" t="str">
        <f>IFERROR(INDEX(#REF!,MATCH("*"&amp;L94&amp;"*",#REF!,0)),"  ")</f>
        <v xml:space="preserve">  </v>
      </c>
      <c r="AN94" s="568">
        <f t="shared" si="109"/>
        <v>0</v>
      </c>
      <c r="AO94" s="469">
        <f t="shared" si="110"/>
        <v>0</v>
      </c>
      <c r="AP94" s="469">
        <f t="shared" si="111"/>
        <v>0</v>
      </c>
      <c r="AQ94" s="569"/>
      <c r="AR94" s="569"/>
      <c r="AS94" s="569"/>
      <c r="AT94" s="570">
        <f t="shared" si="112"/>
        <v>1E-4</v>
      </c>
      <c r="AU94" s="571">
        <f t="shared" si="113"/>
        <v>1E-4</v>
      </c>
      <c r="AV94" s="571">
        <f t="shared" si="114"/>
        <v>2.0000000000000001E-4</v>
      </c>
      <c r="AW94" s="571">
        <f t="shared" si="115"/>
        <v>2.9999999999999997E-4</v>
      </c>
      <c r="AX94" s="571">
        <f t="shared" si="116"/>
        <v>4.0000000000000002E-4</v>
      </c>
      <c r="AY94" s="571">
        <f t="shared" si="117"/>
        <v>5.0000000000000001E-4</v>
      </c>
      <c r="AZ94" s="571">
        <f t="shared" si="118"/>
        <v>5.9999999999999995E-4</v>
      </c>
      <c r="BA94" s="571">
        <f t="shared" si="119"/>
        <v>6.9999999999999999E-4</v>
      </c>
      <c r="BB94" s="571">
        <f t="shared" si="120"/>
        <v>8.0000000000000004E-4</v>
      </c>
      <c r="BC94" s="571">
        <f t="shared" si="121"/>
        <v>8.9999999999999998E-4</v>
      </c>
      <c r="BD94" s="571">
        <f t="shared" si="122"/>
        <v>1E-3</v>
      </c>
      <c r="BE94" s="569"/>
      <c r="BF94" s="569"/>
      <c r="BG94" s="569"/>
      <c r="BH94" s="569"/>
      <c r="BI94" s="377" t="e">
        <f t="shared" si="123"/>
        <v>#VALUE!</v>
      </c>
      <c r="BJ94" s="377" t="e">
        <f t="shared" si="124"/>
        <v>#VALUE!</v>
      </c>
      <c r="BK94" s="377" t="e">
        <f t="shared" si="125"/>
        <v>#VALUE!</v>
      </c>
      <c r="BL94" s="377" t="e">
        <f t="shared" si="126"/>
        <v>#VALUE!</v>
      </c>
      <c r="BM94" s="377" t="e">
        <f t="shared" si="127"/>
        <v>#VALUE!</v>
      </c>
      <c r="BN94" s="377" t="e">
        <f t="shared" si="128"/>
        <v>#VALUE!</v>
      </c>
      <c r="BO94" s="377" t="e">
        <f t="shared" si="129"/>
        <v>#VALUE!</v>
      </c>
      <c r="BP94" s="377" t="e">
        <f t="shared" si="130"/>
        <v>#VALUE!</v>
      </c>
      <c r="BQ94" s="377" t="e">
        <f t="shared" si="131"/>
        <v>#VALUE!</v>
      </c>
      <c r="BR94" s="377" t="e">
        <f t="shared" si="132"/>
        <v>#VALUE!</v>
      </c>
    </row>
    <row r="95" spans="1:70" ht="12.75" hidden="1" customHeight="1" x14ac:dyDescent="0.2">
      <c r="A95" s="484" t="str">
        <f t="shared" si="89"/>
        <v/>
      </c>
      <c r="B95" s="485">
        <f t="shared" si="90"/>
        <v>-886</v>
      </c>
      <c r="C95" s="486" t="str">
        <f t="shared" si="91"/>
        <v/>
      </c>
      <c r="D95" s="487">
        <f t="shared" si="92"/>
        <v>-886</v>
      </c>
      <c r="E95" s="488" t="str">
        <f t="shared" si="93"/>
        <v/>
      </c>
      <c r="F95" s="489">
        <f t="shared" si="94"/>
        <v>-886</v>
      </c>
      <c r="G95" s="490" t="str">
        <f t="shared" si="95"/>
        <v/>
      </c>
      <c r="H95" s="489">
        <f t="shared" si="96"/>
        <v>114</v>
      </c>
      <c r="I95" s="491" t="str">
        <f t="shared" si="97"/>
        <v/>
      </c>
      <c r="J95" s="554">
        <f t="shared" si="98"/>
        <v>-886</v>
      </c>
      <c r="K95" s="526" t="str">
        <f t="shared" si="99"/>
        <v/>
      </c>
      <c r="L95" s="573" t="s">
        <v>201</v>
      </c>
      <c r="M95" s="556" t="s">
        <v>170</v>
      </c>
      <c r="N95" s="557" t="str">
        <f>IF(M95="","m","")</f>
        <v/>
      </c>
      <c r="O95" s="558"/>
      <c r="P95" s="559"/>
      <c r="Q95" s="560"/>
      <c r="R95" s="539">
        <f>(IF(COUNT(Z95,AA95,AB95,AC95,AD95,AE95,AF95,AG95,AH95,AI95)&lt;10,SUM(Z95,AA95,AB95,AC95,AD95,AE95,AF95,AG95,AH95,AI95),SUM(LARGE((Z95,AA95,AB95,AC95,AD95,AE95,AF95,AG95,AH95,AI95),{1;2;3;4;5;6;7;8;9}))))</f>
        <v>0</v>
      </c>
      <c r="S95" s="561" t="str">
        <f>INDEX([1]ETAPP!B$1:B$32,MATCH(COUNTIF(BI95:BR95,1),[1]ETAPP!A$1:A$32,0))&amp;INDEX([1]ETAPP!B$1:B$32,MATCH(COUNTIF(BI95:BR95,2),[1]ETAPP!A$1:A$32,0))&amp;INDEX([1]ETAPP!B$1:B$32,MATCH(COUNTIF(BI95:BR95,3),[1]ETAPP!A$1:A$32,0))&amp;INDEX([1]ETAPP!B$1:B$32,MATCH(COUNTIF(BI95:BR95,4),[1]ETAPP!A$1:A$32,0))&amp;INDEX([1]ETAPP!B$1:B$32,MATCH(COUNTIF(BI95:BR95,5),[1]ETAPP!A$1:A$32,0))&amp;INDEX([1]ETAPP!B$1:B$32,MATCH(COUNTIF(BI95:BR95,6),[1]ETAPP!A$1:A$32,0))&amp;INDEX([1]ETAPP!B$1:B$32,MATCH(COUNTIF(BI95:BR95,7),[1]ETAPP!A$1:A$32,0))&amp;INDEX([1]ETAPP!B$1:B$32,MATCH(COUNTIF(BI95:BR95,8),[1]ETAPP!A$1:A$32,0))&amp;INDEX([1]ETAPP!B$1:B$32,MATCH(COUNTIF(BI95:BR95,9),[1]ETAPP!A$1:A$32,0))&amp;INDEX([1]ETAPP!B$1:B$32,MATCH(COUNTIF(BI95:BR95,10),[1]ETAPP!A$1:A$32,0))&amp;INDEX([1]ETAPP!B$1:B$32,MATCH(COUNTIF(BI95:BR95,11),[1]ETAPP!A$1:A$32,0))&amp;INDEX([1]ETAPP!B$1:B$32,MATCH(COUNTIF(BI95:BR95,12),[1]ETAPP!A$1:A$32,0))&amp;INDEX([1]ETAPP!B$1:B$32,MATCH(COUNTIF(BI95:BR95,13),[1]ETAPP!A$1:A$32,0))&amp;INDEX([1]ETAPP!B$1:B$32,MATCH(COUNTIF(BI95:BR95,14),[1]ETAPP!A$1:A$32,0))&amp;INDEX([1]ETAPP!B$1:B$32,MATCH(COUNTIF(BI95:BR95,15),[1]ETAPP!A$1:A$32,0))&amp;INDEX([1]ETAPP!B$1:B$32,MATCH(COUNTIF(BI95:BR95,16),[1]ETAPP!A$1:A$32,0))&amp;INDEX([1]ETAPP!B$1:B$32,MATCH(COUNTIF(BI95:BR95,17),[1]ETAPP!A$1:A$32,0))&amp;INDEX([1]ETAPP!B$1:B$32,MATCH(COUNTIF(BI95:BR95,18),[1]ETAPP!A$1:A$32,0))&amp;INDEX([1]ETAPP!B$1:B$32,MATCH(COUNTIF(BI95:BR95,19),[1]ETAPP!A$1:A$32,0))&amp;INDEX([1]ETAPP!B$1:B$32,MATCH(COUNTIF(BI95:BR95,20),[1]ETAPP!A$1:A$32,0))&amp;INDEX([1]ETAPP!B$1:B$32,MATCH(COUNTIF(BI95:BR95,21),[1]ETAPP!A$1:A$32,0))</f>
        <v>000000000000000000000</v>
      </c>
      <c r="T95" s="561" t="str">
        <f t="shared" si="100"/>
        <v>000,0-000000000000000000000</v>
      </c>
      <c r="U95" s="561">
        <f t="shared" si="101"/>
        <v>114</v>
      </c>
      <c r="V95" s="561">
        <f t="shared" si="102"/>
        <v>51</v>
      </c>
      <c r="W95" s="561" t="str">
        <f t="shared" si="103"/>
        <v>000,0-000000000000000000000-051</v>
      </c>
      <c r="X95" s="561">
        <f t="shared" si="104"/>
        <v>89</v>
      </c>
      <c r="Y95" s="562">
        <f t="shared" si="105"/>
        <v>26</v>
      </c>
      <c r="Z95" s="563" t="str">
        <f>IFERROR(INDEX('V1'!C$300:C$400,MATCH("*"&amp;L95&amp;"*",'V1'!B$300:B$400,0)),"  ")</f>
        <v xml:space="preserve">  </v>
      </c>
      <c r="AA95" s="563" t="str">
        <f>IFERROR(INDEX('V2'!C$300:C$400,MATCH("*"&amp;L95&amp;"*",'V2'!B$300:B$400,0)),"  ")</f>
        <v xml:space="preserve">  </v>
      </c>
      <c r="AB95" s="563" t="str">
        <f>IFERROR(INDEX('V3'!C$300:C$400,MATCH("*"&amp;L95&amp;"*",'V3'!B$300:B$400,0)),"  ")</f>
        <v xml:space="preserve">  </v>
      </c>
      <c r="AC95" s="563" t="str">
        <f>IFERROR(INDEX('V4'!C$300:C$400,MATCH("*"&amp;L95&amp;"*",'V4'!B$300:B$400,0)),"  ")</f>
        <v xml:space="preserve">  </v>
      </c>
      <c r="AD95" s="563" t="str">
        <f>IFERROR(INDEX('V5'!C$300:C$400,MATCH("*"&amp;L95&amp;"*",'V5'!B$300:B$400,0)),"  ")</f>
        <v xml:space="preserve">  </v>
      </c>
      <c r="AE95" s="563" t="str">
        <f>IFERROR(INDEX('V6'!C$300:C$400,MATCH("*"&amp;L95&amp;"*",'V6'!B$300:B$400,0)),"  ")</f>
        <v xml:space="preserve">  </v>
      </c>
      <c r="AF95" s="563" t="str">
        <f>IFERROR(INDEX('V7'!C$300:C$400,MATCH("*"&amp;L95&amp;"*",'V7'!B$300:B$400,0)),"  ")</f>
        <v xml:space="preserve">  </v>
      </c>
      <c r="AG95" s="563" t="str">
        <f>IFERROR(INDEX('V8'!C$300:C$400,MATCH("*"&amp;L95&amp;"*",'V8'!B$300:B$400,0)),"  ")</f>
        <v xml:space="preserve">  </v>
      </c>
      <c r="AH95" s="563" t="str">
        <f>IFERROR(INDEX('V9'!C$300:C$400,MATCH("*"&amp;L95&amp;"*",'V9'!B$300:B$400,0)),"  ")</f>
        <v xml:space="preserve">  </v>
      </c>
      <c r="AI95" s="563" t="str">
        <f>IFERROR(INDEX('V10'!C$300:C$400,MATCH("*"&amp;L95&amp;"*",'V10'!B$300:B$400,0)),"  ")</f>
        <v xml:space="preserve">  </v>
      </c>
      <c r="AJ95" s="564" t="str">
        <f t="shared" si="106"/>
        <v/>
      </c>
      <c r="AK95" s="565">
        <f t="shared" si="107"/>
        <v>0</v>
      </c>
      <c r="AL95" s="566" t="str">
        <f t="shared" si="108"/>
        <v/>
      </c>
      <c r="AM95" s="567" t="str">
        <f>IFERROR(INDEX(#REF!,MATCH("*"&amp;L95&amp;"*",#REF!,0)),"  ")</f>
        <v xml:space="preserve">  </v>
      </c>
      <c r="AN95" s="568">
        <f t="shared" si="109"/>
        <v>0</v>
      </c>
      <c r="AO95" s="469">
        <f t="shared" si="110"/>
        <v>0</v>
      </c>
      <c r="AP95" s="469">
        <f t="shared" si="111"/>
        <v>0</v>
      </c>
      <c r="AQ95" s="569"/>
      <c r="AR95" s="569"/>
      <c r="AS95" s="569"/>
      <c r="AT95" s="570">
        <f t="shared" si="112"/>
        <v>1E-4</v>
      </c>
      <c r="AU95" s="571">
        <f t="shared" si="113"/>
        <v>1E-4</v>
      </c>
      <c r="AV95" s="571">
        <f t="shared" si="114"/>
        <v>2.0000000000000001E-4</v>
      </c>
      <c r="AW95" s="571">
        <f t="shared" si="115"/>
        <v>2.9999999999999997E-4</v>
      </c>
      <c r="AX95" s="571">
        <f t="shared" si="116"/>
        <v>4.0000000000000002E-4</v>
      </c>
      <c r="AY95" s="571">
        <f t="shared" si="117"/>
        <v>5.0000000000000001E-4</v>
      </c>
      <c r="AZ95" s="571">
        <f t="shared" si="118"/>
        <v>5.9999999999999995E-4</v>
      </c>
      <c r="BA95" s="571">
        <f t="shared" si="119"/>
        <v>6.9999999999999999E-4</v>
      </c>
      <c r="BB95" s="571">
        <f t="shared" si="120"/>
        <v>8.0000000000000004E-4</v>
      </c>
      <c r="BC95" s="571">
        <f t="shared" si="121"/>
        <v>8.9999999999999998E-4</v>
      </c>
      <c r="BD95" s="571">
        <f t="shared" si="122"/>
        <v>1E-3</v>
      </c>
      <c r="BE95" s="569"/>
      <c r="BF95" s="569"/>
      <c r="BG95" s="569"/>
      <c r="BH95" s="569"/>
      <c r="BI95" s="377" t="e">
        <f t="shared" si="123"/>
        <v>#VALUE!</v>
      </c>
      <c r="BJ95" s="377" t="e">
        <f t="shared" si="124"/>
        <v>#VALUE!</v>
      </c>
      <c r="BK95" s="377" t="e">
        <f t="shared" si="125"/>
        <v>#VALUE!</v>
      </c>
      <c r="BL95" s="377" t="e">
        <f t="shared" si="126"/>
        <v>#VALUE!</v>
      </c>
      <c r="BM95" s="377" t="e">
        <f t="shared" si="127"/>
        <v>#VALUE!</v>
      </c>
      <c r="BN95" s="377" t="e">
        <f t="shared" si="128"/>
        <v>#VALUE!</v>
      </c>
      <c r="BO95" s="377" t="e">
        <f t="shared" si="129"/>
        <v>#VALUE!</v>
      </c>
      <c r="BP95" s="377" t="e">
        <f t="shared" si="130"/>
        <v>#VALUE!</v>
      </c>
      <c r="BQ95" s="377" t="e">
        <f t="shared" si="131"/>
        <v>#VALUE!</v>
      </c>
      <c r="BR95" s="377" t="e">
        <f t="shared" si="132"/>
        <v>#VALUE!</v>
      </c>
    </row>
    <row r="96" spans="1:70" ht="12.75" hidden="1" customHeight="1" x14ac:dyDescent="0.2">
      <c r="A96" s="484" t="str">
        <f t="shared" si="89"/>
        <v/>
      </c>
      <c r="B96" s="485">
        <f t="shared" si="90"/>
        <v>-886</v>
      </c>
      <c r="C96" s="486" t="str">
        <f t="shared" si="91"/>
        <v/>
      </c>
      <c r="D96" s="487">
        <f t="shared" si="92"/>
        <v>-886</v>
      </c>
      <c r="E96" s="488" t="str">
        <f t="shared" si="93"/>
        <v/>
      </c>
      <c r="F96" s="489">
        <f t="shared" si="94"/>
        <v>-886</v>
      </c>
      <c r="G96" s="490" t="str">
        <f t="shared" si="95"/>
        <v/>
      </c>
      <c r="H96" s="489">
        <f t="shared" si="96"/>
        <v>114</v>
      </c>
      <c r="I96" s="491" t="str">
        <f t="shared" si="97"/>
        <v/>
      </c>
      <c r="J96" s="554">
        <f t="shared" si="98"/>
        <v>-886</v>
      </c>
      <c r="K96" s="526" t="str">
        <f t="shared" si="99"/>
        <v/>
      </c>
      <c r="L96" s="555" t="s">
        <v>289</v>
      </c>
      <c r="M96" s="556" t="s">
        <v>170</v>
      </c>
      <c r="N96" s="557"/>
      <c r="O96" s="579"/>
      <c r="P96" s="559"/>
      <c r="Q96" s="560" t="s">
        <v>284</v>
      </c>
      <c r="R96" s="539">
        <f>(IF(COUNT(Z96,AA96,AB96,AC96,AD96,AE96,AF96,AG96,AH96,AI96)&lt;10,SUM(Z96,AA96,AB96,AC96,AD96,AE96,AF96,AG96,AH96,AI96),SUM(LARGE((Z96,AA96,AB96,AC96,AD96,AE96,AF96,AG96,AH96,AI96),{1;2;3;4;5;6;7;8;9}))))</f>
        <v>0</v>
      </c>
      <c r="S96" s="561" t="str">
        <f>INDEX([1]ETAPP!B$1:B$32,MATCH(COUNTIF(BI96:BR96,1),[1]ETAPP!A$1:A$32,0))&amp;INDEX([1]ETAPP!B$1:B$32,MATCH(COUNTIF(BI96:BR96,2),[1]ETAPP!A$1:A$32,0))&amp;INDEX([1]ETAPP!B$1:B$32,MATCH(COUNTIF(BI96:BR96,3),[1]ETAPP!A$1:A$32,0))&amp;INDEX([1]ETAPP!B$1:B$32,MATCH(COUNTIF(BI96:BR96,4),[1]ETAPP!A$1:A$32,0))&amp;INDEX([1]ETAPP!B$1:B$32,MATCH(COUNTIF(BI96:BR96,5),[1]ETAPP!A$1:A$32,0))&amp;INDEX([1]ETAPP!B$1:B$32,MATCH(COUNTIF(BI96:BR96,6),[1]ETAPP!A$1:A$32,0))&amp;INDEX([1]ETAPP!B$1:B$32,MATCH(COUNTIF(BI96:BR96,7),[1]ETAPP!A$1:A$32,0))&amp;INDEX([1]ETAPP!B$1:B$32,MATCH(COUNTIF(BI96:BR96,8),[1]ETAPP!A$1:A$32,0))&amp;INDEX([1]ETAPP!B$1:B$32,MATCH(COUNTIF(BI96:BR96,9),[1]ETAPP!A$1:A$32,0))&amp;INDEX([1]ETAPP!B$1:B$32,MATCH(COUNTIF(BI96:BR96,10),[1]ETAPP!A$1:A$32,0))&amp;INDEX([1]ETAPP!B$1:B$32,MATCH(COUNTIF(BI96:BR96,11),[1]ETAPP!A$1:A$32,0))&amp;INDEX([1]ETAPP!B$1:B$32,MATCH(COUNTIF(BI96:BR96,12),[1]ETAPP!A$1:A$32,0))&amp;INDEX([1]ETAPP!B$1:B$32,MATCH(COUNTIF(BI96:BR96,13),[1]ETAPP!A$1:A$32,0))&amp;INDEX([1]ETAPP!B$1:B$32,MATCH(COUNTIF(BI96:BR96,14),[1]ETAPP!A$1:A$32,0))&amp;INDEX([1]ETAPP!B$1:B$32,MATCH(COUNTIF(BI96:BR96,15),[1]ETAPP!A$1:A$32,0))&amp;INDEX([1]ETAPP!B$1:B$32,MATCH(COUNTIF(BI96:BR96,16),[1]ETAPP!A$1:A$32,0))&amp;INDEX([1]ETAPP!B$1:B$32,MATCH(COUNTIF(BI96:BR96,17),[1]ETAPP!A$1:A$32,0))&amp;INDEX([1]ETAPP!B$1:B$32,MATCH(COUNTIF(BI96:BR96,18),[1]ETAPP!A$1:A$32,0))&amp;INDEX([1]ETAPP!B$1:B$32,MATCH(COUNTIF(BI96:BR96,19),[1]ETAPP!A$1:A$32,0))&amp;INDEX([1]ETAPP!B$1:B$32,MATCH(COUNTIF(BI96:BR96,20),[1]ETAPP!A$1:A$32,0))&amp;INDEX([1]ETAPP!B$1:B$32,MATCH(COUNTIF(BI96:BR96,21),[1]ETAPP!A$1:A$32,0))</f>
        <v>000000000000000000000</v>
      </c>
      <c r="T96" s="561" t="str">
        <f t="shared" si="100"/>
        <v>000,0-000000000000000000000</v>
      </c>
      <c r="U96" s="561">
        <f t="shared" si="101"/>
        <v>114</v>
      </c>
      <c r="V96" s="561">
        <f t="shared" si="102"/>
        <v>50</v>
      </c>
      <c r="W96" s="561" t="str">
        <f t="shared" si="103"/>
        <v>000,0-000000000000000000000-050</v>
      </c>
      <c r="X96" s="561">
        <f t="shared" si="104"/>
        <v>90</v>
      </c>
      <c r="Y96" s="562">
        <f t="shared" si="105"/>
        <v>25</v>
      </c>
      <c r="Z96" s="563" t="str">
        <f>IFERROR(INDEX('V1'!C$300:C$400,MATCH("*"&amp;L96&amp;"*",'V1'!B$300:B$400,0)),"  ")</f>
        <v xml:space="preserve">  </v>
      </c>
      <c r="AA96" s="563" t="str">
        <f>IFERROR(INDEX('V2'!C$300:C$400,MATCH("*"&amp;L96&amp;"*",'V2'!B$300:B$400,0)),"  ")</f>
        <v xml:space="preserve">  </v>
      </c>
      <c r="AB96" s="563" t="str">
        <f>IFERROR(INDEX('V3'!C$300:C$400,MATCH("*"&amp;L96&amp;"*",'V3'!B$300:B$400,0)),"  ")</f>
        <v xml:space="preserve">  </v>
      </c>
      <c r="AC96" s="563" t="str">
        <f>IFERROR(INDEX('V4'!C$300:C$400,MATCH("*"&amp;L96&amp;"*",'V4'!B$300:B$400,0)),"  ")</f>
        <v xml:space="preserve">  </v>
      </c>
      <c r="AD96" s="563" t="str">
        <f>IFERROR(INDEX('V5'!C$300:C$400,MATCH("*"&amp;L96&amp;"*",'V5'!B$300:B$400,0)),"  ")</f>
        <v xml:space="preserve">  </v>
      </c>
      <c r="AE96" s="563" t="str">
        <f>IFERROR(INDEX('V6'!C$300:C$400,MATCH("*"&amp;L96&amp;"*",'V6'!B$300:B$400,0)),"  ")</f>
        <v xml:space="preserve">  </v>
      </c>
      <c r="AF96" s="563" t="str">
        <f>IFERROR(INDEX('V7'!C$300:C$400,MATCH("*"&amp;L96&amp;"*",'V7'!B$300:B$400,0)),"  ")</f>
        <v xml:space="preserve">  </v>
      </c>
      <c r="AG96" s="563" t="str">
        <f>IFERROR(INDEX('V8'!C$300:C$400,MATCH("*"&amp;L96&amp;"*",'V8'!B$300:B$400,0)),"  ")</f>
        <v xml:space="preserve">  </v>
      </c>
      <c r="AH96" s="563" t="str">
        <f>IFERROR(INDEX('V9'!C$300:C$400,MATCH("*"&amp;L96&amp;"*",'V9'!B$300:B$400,0)),"  ")</f>
        <v xml:space="preserve">  </v>
      </c>
      <c r="AI96" s="563" t="str">
        <f>IFERROR(INDEX('V10'!C$300:C$400,MATCH("*"&amp;L96&amp;"*",'V10'!B$300:B$400,0)),"  ")</f>
        <v xml:space="preserve">  </v>
      </c>
      <c r="AJ96" s="564" t="str">
        <f t="shared" si="106"/>
        <v/>
      </c>
      <c r="AK96" s="565">
        <f t="shared" si="107"/>
        <v>0</v>
      </c>
      <c r="AL96" s="566" t="str">
        <f t="shared" si="108"/>
        <v/>
      </c>
      <c r="AM96" s="567" t="str">
        <f>IFERROR(INDEX(#REF!,MATCH("*"&amp;L96&amp;"*",#REF!,0)),"  ")</f>
        <v xml:space="preserve">  </v>
      </c>
      <c r="AN96" s="568">
        <f t="shared" si="109"/>
        <v>0</v>
      </c>
      <c r="AO96" s="469">
        <f t="shared" si="110"/>
        <v>0</v>
      </c>
      <c r="AP96" s="469">
        <f t="shared" si="111"/>
        <v>0</v>
      </c>
      <c r="AQ96" s="569"/>
      <c r="AR96" s="569"/>
      <c r="AS96" s="569"/>
      <c r="AT96" s="570">
        <f t="shared" si="112"/>
        <v>1E-4</v>
      </c>
      <c r="AU96" s="571">
        <f t="shared" si="113"/>
        <v>1E-4</v>
      </c>
      <c r="AV96" s="571">
        <f t="shared" si="114"/>
        <v>2.0000000000000001E-4</v>
      </c>
      <c r="AW96" s="571">
        <f t="shared" si="115"/>
        <v>2.9999999999999997E-4</v>
      </c>
      <c r="AX96" s="571">
        <f t="shared" si="116"/>
        <v>4.0000000000000002E-4</v>
      </c>
      <c r="AY96" s="571">
        <f t="shared" si="117"/>
        <v>5.0000000000000001E-4</v>
      </c>
      <c r="AZ96" s="571">
        <f t="shared" si="118"/>
        <v>5.9999999999999995E-4</v>
      </c>
      <c r="BA96" s="571">
        <f t="shared" si="119"/>
        <v>6.9999999999999999E-4</v>
      </c>
      <c r="BB96" s="571">
        <f t="shared" si="120"/>
        <v>8.0000000000000004E-4</v>
      </c>
      <c r="BC96" s="571">
        <f t="shared" si="121"/>
        <v>8.9999999999999998E-4</v>
      </c>
      <c r="BD96" s="571">
        <f t="shared" si="122"/>
        <v>1E-3</v>
      </c>
      <c r="BE96" s="569"/>
      <c r="BF96" s="569"/>
      <c r="BG96" s="569"/>
      <c r="BH96" s="569"/>
      <c r="BI96" s="377" t="e">
        <f t="shared" si="123"/>
        <v>#VALUE!</v>
      </c>
      <c r="BJ96" s="377" t="e">
        <f t="shared" si="124"/>
        <v>#VALUE!</v>
      </c>
      <c r="BK96" s="377" t="e">
        <f t="shared" si="125"/>
        <v>#VALUE!</v>
      </c>
      <c r="BL96" s="377" t="e">
        <f t="shared" si="126"/>
        <v>#VALUE!</v>
      </c>
      <c r="BM96" s="377" t="e">
        <f t="shared" si="127"/>
        <v>#VALUE!</v>
      </c>
      <c r="BN96" s="377" t="e">
        <f t="shared" si="128"/>
        <v>#VALUE!</v>
      </c>
      <c r="BO96" s="377" t="e">
        <f t="shared" si="129"/>
        <v>#VALUE!</v>
      </c>
      <c r="BP96" s="377" t="e">
        <f t="shared" si="130"/>
        <v>#VALUE!</v>
      </c>
      <c r="BQ96" s="377" t="e">
        <f t="shared" si="131"/>
        <v>#VALUE!</v>
      </c>
      <c r="BR96" s="377" t="e">
        <f t="shared" si="132"/>
        <v>#VALUE!</v>
      </c>
    </row>
    <row r="97" spans="1:70" ht="12.75" hidden="1" customHeight="1" x14ac:dyDescent="0.2">
      <c r="A97" s="484" t="str">
        <f t="shared" si="89"/>
        <v/>
      </c>
      <c r="B97" s="485">
        <f t="shared" si="90"/>
        <v>114</v>
      </c>
      <c r="C97" s="486" t="str">
        <f t="shared" si="91"/>
        <v/>
      </c>
      <c r="D97" s="487">
        <f t="shared" si="92"/>
        <v>114</v>
      </c>
      <c r="E97" s="488" t="str">
        <f t="shared" si="93"/>
        <v/>
      </c>
      <c r="F97" s="489">
        <f t="shared" si="94"/>
        <v>-886</v>
      </c>
      <c r="G97" s="490" t="str">
        <f t="shared" si="95"/>
        <v/>
      </c>
      <c r="H97" s="489">
        <f t="shared" si="96"/>
        <v>114</v>
      </c>
      <c r="I97" s="491" t="str">
        <f t="shared" si="97"/>
        <v/>
      </c>
      <c r="J97" s="554">
        <f t="shared" si="98"/>
        <v>-886</v>
      </c>
      <c r="K97" s="526" t="str">
        <f t="shared" si="99"/>
        <v/>
      </c>
      <c r="L97" s="572" t="s">
        <v>206</v>
      </c>
      <c r="M97" s="556" t="s">
        <v>170</v>
      </c>
      <c r="N97" s="557" t="str">
        <f>IF(M97="","m","")</f>
        <v/>
      </c>
      <c r="O97" s="558"/>
      <c r="P97" s="559" t="s">
        <v>269</v>
      </c>
      <c r="Q97" s="560" t="s">
        <v>148</v>
      </c>
      <c r="R97" s="539">
        <f>(IF(COUNT(Z97,AA97,AB97,AC97,AD97,AE97,AF97,AG97,AH97,AI97)&lt;10,SUM(Z97,AA97,AB97,AC97,AD97,AE97,AF97,AG97,AH97,AI97),SUM(LARGE((Z97,AA97,AB97,AC97,AD97,AE97,AF97,AG97,AH97,AI97),{1;2;3;4;5;6;7;8;9}))))</f>
        <v>0</v>
      </c>
      <c r="S97" s="561" t="str">
        <f>INDEX([1]ETAPP!B$1:B$32,MATCH(COUNTIF(BI97:BR97,1),[1]ETAPP!A$1:A$32,0))&amp;INDEX([1]ETAPP!B$1:B$32,MATCH(COUNTIF(BI97:BR97,2),[1]ETAPP!A$1:A$32,0))&amp;INDEX([1]ETAPP!B$1:B$32,MATCH(COUNTIF(BI97:BR97,3),[1]ETAPP!A$1:A$32,0))&amp;INDEX([1]ETAPP!B$1:B$32,MATCH(COUNTIF(BI97:BR97,4),[1]ETAPP!A$1:A$32,0))&amp;INDEX([1]ETAPP!B$1:B$32,MATCH(COUNTIF(BI97:BR97,5),[1]ETAPP!A$1:A$32,0))&amp;INDEX([1]ETAPP!B$1:B$32,MATCH(COUNTIF(BI97:BR97,6),[1]ETAPP!A$1:A$32,0))&amp;INDEX([1]ETAPP!B$1:B$32,MATCH(COUNTIF(BI97:BR97,7),[1]ETAPP!A$1:A$32,0))&amp;INDEX([1]ETAPP!B$1:B$32,MATCH(COUNTIF(BI97:BR97,8),[1]ETAPP!A$1:A$32,0))&amp;INDEX([1]ETAPP!B$1:B$32,MATCH(COUNTIF(BI97:BR97,9),[1]ETAPP!A$1:A$32,0))&amp;INDEX([1]ETAPP!B$1:B$32,MATCH(COUNTIF(BI97:BR97,10),[1]ETAPP!A$1:A$32,0))&amp;INDEX([1]ETAPP!B$1:B$32,MATCH(COUNTIF(BI97:BR97,11),[1]ETAPP!A$1:A$32,0))&amp;INDEX([1]ETAPP!B$1:B$32,MATCH(COUNTIF(BI97:BR97,12),[1]ETAPP!A$1:A$32,0))&amp;INDEX([1]ETAPP!B$1:B$32,MATCH(COUNTIF(BI97:BR97,13),[1]ETAPP!A$1:A$32,0))&amp;INDEX([1]ETAPP!B$1:B$32,MATCH(COUNTIF(BI97:BR97,14),[1]ETAPP!A$1:A$32,0))&amp;INDEX([1]ETAPP!B$1:B$32,MATCH(COUNTIF(BI97:BR97,15),[1]ETAPP!A$1:A$32,0))&amp;INDEX([1]ETAPP!B$1:B$32,MATCH(COUNTIF(BI97:BR97,16),[1]ETAPP!A$1:A$32,0))&amp;INDEX([1]ETAPP!B$1:B$32,MATCH(COUNTIF(BI97:BR97,17),[1]ETAPP!A$1:A$32,0))&amp;INDEX([1]ETAPP!B$1:B$32,MATCH(COUNTIF(BI97:BR97,18),[1]ETAPP!A$1:A$32,0))&amp;INDEX([1]ETAPP!B$1:B$32,MATCH(COUNTIF(BI97:BR97,19),[1]ETAPP!A$1:A$32,0))&amp;INDEX([1]ETAPP!B$1:B$32,MATCH(COUNTIF(BI97:BR97,20),[1]ETAPP!A$1:A$32,0))&amp;INDEX([1]ETAPP!B$1:B$32,MATCH(COUNTIF(BI97:BR97,21),[1]ETAPP!A$1:A$32,0))</f>
        <v>000000000000000000000</v>
      </c>
      <c r="T97" s="561" t="str">
        <f t="shared" si="100"/>
        <v>000,0-000000000000000000000</v>
      </c>
      <c r="U97" s="561">
        <f t="shared" si="101"/>
        <v>114</v>
      </c>
      <c r="V97" s="561">
        <f t="shared" si="102"/>
        <v>46</v>
      </c>
      <c r="W97" s="561" t="str">
        <f t="shared" si="103"/>
        <v>000,0-000000000000000000000-046</v>
      </c>
      <c r="X97" s="561">
        <f t="shared" si="104"/>
        <v>91</v>
      </c>
      <c r="Y97" s="562">
        <f t="shared" si="105"/>
        <v>24</v>
      </c>
      <c r="Z97" s="563" t="str">
        <f>IFERROR(INDEX('V1'!C$300:C$400,MATCH("*"&amp;L97&amp;"*",'V1'!B$300:B$400,0)),"  ")</f>
        <v xml:space="preserve">  </v>
      </c>
      <c r="AA97" s="563" t="str">
        <f>IFERROR(INDEX('V2'!C$300:C$400,MATCH("*"&amp;L97&amp;"*",'V2'!B$300:B$400,0)),"  ")</f>
        <v xml:space="preserve">  </v>
      </c>
      <c r="AB97" s="563" t="str">
        <f>IFERROR(INDEX('V3'!C$300:C$400,MATCH("*"&amp;L97&amp;"*",'V3'!B$300:B$400,0)),"  ")</f>
        <v xml:space="preserve">  </v>
      </c>
      <c r="AC97" s="563" t="str">
        <f>IFERROR(INDEX('V4'!C$300:C$400,MATCH("*"&amp;L97&amp;"*",'V4'!B$300:B$400,0)),"  ")</f>
        <v xml:space="preserve">  </v>
      </c>
      <c r="AD97" s="563" t="str">
        <f>IFERROR(INDEX('V5'!C$300:C$400,MATCH("*"&amp;L97&amp;"*",'V5'!B$300:B$400,0)),"  ")</f>
        <v xml:space="preserve">  </v>
      </c>
      <c r="AE97" s="563" t="str">
        <f>IFERROR(INDEX('V6'!C$300:C$400,MATCH("*"&amp;L97&amp;"*",'V6'!B$300:B$400,0)),"  ")</f>
        <v xml:space="preserve">  </v>
      </c>
      <c r="AF97" s="563" t="str">
        <f>IFERROR(INDEX('V7'!C$300:C$400,MATCH("*"&amp;L97&amp;"*",'V7'!B$300:B$400,0)),"  ")</f>
        <v xml:space="preserve">  </v>
      </c>
      <c r="AG97" s="563" t="str">
        <f>IFERROR(INDEX('V8'!C$300:C$400,MATCH("*"&amp;L97&amp;"*",'V8'!B$300:B$400,0)),"  ")</f>
        <v xml:space="preserve">  </v>
      </c>
      <c r="AH97" s="563" t="str">
        <f>IFERROR(INDEX('V9'!C$300:C$400,MATCH("*"&amp;L97&amp;"*",'V9'!B$300:B$400,0)),"  ")</f>
        <v xml:space="preserve">  </v>
      </c>
      <c r="AI97" s="563" t="str">
        <f>IFERROR(INDEX('V10'!C$300:C$400,MATCH("*"&amp;L97&amp;"*",'V10'!B$300:B$400,0)),"  ")</f>
        <v xml:space="preserve">  </v>
      </c>
      <c r="AJ97" s="564" t="str">
        <f t="shared" si="106"/>
        <v/>
      </c>
      <c r="AK97" s="565">
        <f t="shared" si="107"/>
        <v>0</v>
      </c>
      <c r="AL97" s="566" t="str">
        <f t="shared" si="108"/>
        <v/>
      </c>
      <c r="AM97" s="567" t="str">
        <f>IFERROR(INDEX(#REF!,MATCH("*"&amp;L97&amp;"*",#REF!,0)),"  ")</f>
        <v xml:space="preserve">  </v>
      </c>
      <c r="AN97" s="568">
        <f t="shared" si="109"/>
        <v>0</v>
      </c>
      <c r="AO97" s="469">
        <f t="shared" si="110"/>
        <v>0</v>
      </c>
      <c r="AP97" s="469">
        <f t="shared" si="111"/>
        <v>0</v>
      </c>
      <c r="AQ97" s="569"/>
      <c r="AR97" s="569"/>
      <c r="AS97" s="569"/>
      <c r="AT97" s="570">
        <f t="shared" si="112"/>
        <v>1E-4</v>
      </c>
      <c r="AU97" s="571">
        <f t="shared" si="113"/>
        <v>1E-4</v>
      </c>
      <c r="AV97" s="571">
        <f t="shared" si="114"/>
        <v>2.0000000000000001E-4</v>
      </c>
      <c r="AW97" s="571">
        <f t="shared" si="115"/>
        <v>2.9999999999999997E-4</v>
      </c>
      <c r="AX97" s="571">
        <f t="shared" si="116"/>
        <v>4.0000000000000002E-4</v>
      </c>
      <c r="AY97" s="571">
        <f t="shared" si="117"/>
        <v>5.0000000000000001E-4</v>
      </c>
      <c r="AZ97" s="571">
        <f t="shared" si="118"/>
        <v>5.9999999999999995E-4</v>
      </c>
      <c r="BA97" s="571">
        <f t="shared" si="119"/>
        <v>6.9999999999999999E-4</v>
      </c>
      <c r="BB97" s="571">
        <f t="shared" si="120"/>
        <v>8.0000000000000004E-4</v>
      </c>
      <c r="BC97" s="571">
        <f t="shared" si="121"/>
        <v>8.9999999999999998E-4</v>
      </c>
      <c r="BD97" s="571">
        <f t="shared" si="122"/>
        <v>1E-3</v>
      </c>
      <c r="BE97" s="569"/>
      <c r="BF97" s="569"/>
      <c r="BG97" s="569"/>
      <c r="BH97" s="569"/>
      <c r="BI97" s="377" t="e">
        <f t="shared" si="123"/>
        <v>#VALUE!</v>
      </c>
      <c r="BJ97" s="377" t="e">
        <f t="shared" si="124"/>
        <v>#VALUE!</v>
      </c>
      <c r="BK97" s="377" t="e">
        <f t="shared" si="125"/>
        <v>#VALUE!</v>
      </c>
      <c r="BL97" s="377" t="e">
        <f t="shared" si="126"/>
        <v>#VALUE!</v>
      </c>
      <c r="BM97" s="377" t="e">
        <f t="shared" si="127"/>
        <v>#VALUE!</v>
      </c>
      <c r="BN97" s="377" t="e">
        <f t="shared" si="128"/>
        <v>#VALUE!</v>
      </c>
      <c r="BO97" s="377" t="e">
        <f t="shared" si="129"/>
        <v>#VALUE!</v>
      </c>
      <c r="BP97" s="377" t="e">
        <f t="shared" si="130"/>
        <v>#VALUE!</v>
      </c>
      <c r="BQ97" s="377" t="e">
        <f t="shared" si="131"/>
        <v>#VALUE!</v>
      </c>
      <c r="BR97" s="377" t="e">
        <f t="shared" si="132"/>
        <v>#VALUE!</v>
      </c>
    </row>
    <row r="98" spans="1:70" ht="12.75" hidden="1" customHeight="1" x14ac:dyDescent="0.2">
      <c r="A98" s="484" t="str">
        <f t="shared" si="89"/>
        <v/>
      </c>
      <c r="B98" s="485">
        <f t="shared" si="90"/>
        <v>-886</v>
      </c>
      <c r="C98" s="486" t="str">
        <f t="shared" si="91"/>
        <v/>
      </c>
      <c r="D98" s="487">
        <f t="shared" si="92"/>
        <v>-886</v>
      </c>
      <c r="E98" s="488" t="str">
        <f t="shared" si="93"/>
        <v/>
      </c>
      <c r="F98" s="489">
        <f t="shared" si="94"/>
        <v>114</v>
      </c>
      <c r="G98" s="490" t="str">
        <f t="shared" si="95"/>
        <v/>
      </c>
      <c r="H98" s="489">
        <f t="shared" si="96"/>
        <v>-886</v>
      </c>
      <c r="I98" s="491" t="str">
        <f t="shared" si="97"/>
        <v/>
      </c>
      <c r="J98" s="554">
        <f t="shared" si="98"/>
        <v>-886</v>
      </c>
      <c r="K98" s="526" t="str">
        <f t="shared" si="99"/>
        <v/>
      </c>
      <c r="L98" s="555" t="s">
        <v>236</v>
      </c>
      <c r="M98" s="556"/>
      <c r="N98" s="557" t="s">
        <v>168</v>
      </c>
      <c r="O98" s="558"/>
      <c r="P98" s="559"/>
      <c r="Q98" s="560" t="s">
        <v>284</v>
      </c>
      <c r="R98" s="539">
        <f>(IF(COUNT(Z98,AA98,AB98,AC98,AD98,AE98,AF98,AG98,AH98,AI98)&lt;10,SUM(Z98,AA98,AB98,AC98,AD98,AE98,AF98,AG98,AH98,AI98),SUM(LARGE((Z98,AA98,AB98,AC98,AD98,AE98,AF98,AG98,AH98,AI98),{1;2;3;4;5;6;7;8;9}))))</f>
        <v>0</v>
      </c>
      <c r="S98" s="561" t="str">
        <f>INDEX([1]ETAPP!B$1:B$32,MATCH(COUNTIF(BI98:BR98,1),[1]ETAPP!A$1:A$32,0))&amp;INDEX([1]ETAPP!B$1:B$32,MATCH(COUNTIF(BI98:BR98,2),[1]ETAPP!A$1:A$32,0))&amp;INDEX([1]ETAPP!B$1:B$32,MATCH(COUNTIF(BI98:BR98,3),[1]ETAPP!A$1:A$32,0))&amp;INDEX([1]ETAPP!B$1:B$32,MATCH(COUNTIF(BI98:BR98,4),[1]ETAPP!A$1:A$32,0))&amp;INDEX([1]ETAPP!B$1:B$32,MATCH(COUNTIF(BI98:BR98,5),[1]ETAPP!A$1:A$32,0))&amp;INDEX([1]ETAPP!B$1:B$32,MATCH(COUNTIF(BI98:BR98,6),[1]ETAPP!A$1:A$32,0))&amp;INDEX([1]ETAPP!B$1:B$32,MATCH(COUNTIF(BI98:BR98,7),[1]ETAPP!A$1:A$32,0))&amp;INDEX([1]ETAPP!B$1:B$32,MATCH(COUNTIF(BI98:BR98,8),[1]ETAPP!A$1:A$32,0))&amp;INDEX([1]ETAPP!B$1:B$32,MATCH(COUNTIF(BI98:BR98,9),[1]ETAPP!A$1:A$32,0))&amp;INDEX([1]ETAPP!B$1:B$32,MATCH(COUNTIF(BI98:BR98,10),[1]ETAPP!A$1:A$32,0))&amp;INDEX([1]ETAPP!B$1:B$32,MATCH(COUNTIF(BI98:BR98,11),[1]ETAPP!A$1:A$32,0))&amp;INDEX([1]ETAPP!B$1:B$32,MATCH(COUNTIF(BI98:BR98,12),[1]ETAPP!A$1:A$32,0))&amp;INDEX([1]ETAPP!B$1:B$32,MATCH(COUNTIF(BI98:BR98,13),[1]ETAPP!A$1:A$32,0))&amp;INDEX([1]ETAPP!B$1:B$32,MATCH(COUNTIF(BI98:BR98,14),[1]ETAPP!A$1:A$32,0))&amp;INDEX([1]ETAPP!B$1:B$32,MATCH(COUNTIF(BI98:BR98,15),[1]ETAPP!A$1:A$32,0))&amp;INDEX([1]ETAPP!B$1:B$32,MATCH(COUNTIF(BI98:BR98,16),[1]ETAPP!A$1:A$32,0))&amp;INDEX([1]ETAPP!B$1:B$32,MATCH(COUNTIF(BI98:BR98,17),[1]ETAPP!A$1:A$32,0))&amp;INDEX([1]ETAPP!B$1:B$32,MATCH(COUNTIF(BI98:BR98,18),[1]ETAPP!A$1:A$32,0))&amp;INDEX([1]ETAPP!B$1:B$32,MATCH(COUNTIF(BI98:BR98,19),[1]ETAPP!A$1:A$32,0))&amp;INDEX([1]ETAPP!B$1:B$32,MATCH(COUNTIF(BI98:BR98,20),[1]ETAPP!A$1:A$32,0))&amp;INDEX([1]ETAPP!B$1:B$32,MATCH(COUNTIF(BI98:BR98,21),[1]ETAPP!A$1:A$32,0))</f>
        <v>000000000000000000000</v>
      </c>
      <c r="T98" s="561" t="str">
        <f t="shared" si="100"/>
        <v>000,0-000000000000000000000</v>
      </c>
      <c r="U98" s="561">
        <f t="shared" si="101"/>
        <v>114</v>
      </c>
      <c r="V98" s="561">
        <f t="shared" si="102"/>
        <v>45</v>
      </c>
      <c r="W98" s="561" t="str">
        <f t="shared" si="103"/>
        <v>000,0-000000000000000000000-045</v>
      </c>
      <c r="X98" s="561">
        <f t="shared" si="104"/>
        <v>92</v>
      </c>
      <c r="Y98" s="562">
        <f t="shared" si="105"/>
        <v>23</v>
      </c>
      <c r="Z98" s="563" t="str">
        <f>IFERROR(INDEX('V1'!C$300:C$400,MATCH("*"&amp;L98&amp;"*",'V1'!B$300:B$400,0)),"  ")</f>
        <v xml:space="preserve">  </v>
      </c>
      <c r="AA98" s="563" t="str">
        <f>IFERROR(INDEX('V2'!C$300:C$400,MATCH("*"&amp;L98&amp;"*",'V2'!B$300:B$400,0)),"  ")</f>
        <v xml:space="preserve">  </v>
      </c>
      <c r="AB98" s="563" t="str">
        <f>IFERROR(INDEX('V3'!C$300:C$400,MATCH("*"&amp;L98&amp;"*",'V3'!B$300:B$400,0)),"  ")</f>
        <v xml:space="preserve">  </v>
      </c>
      <c r="AC98" s="563" t="str">
        <f>IFERROR(INDEX('V4'!C$300:C$400,MATCH("*"&amp;L98&amp;"*",'V4'!B$300:B$400,0)),"  ")</f>
        <v xml:space="preserve">  </v>
      </c>
      <c r="AD98" s="563" t="str">
        <f>IFERROR(INDEX('V5'!C$300:C$400,MATCH("*"&amp;L98&amp;"*",'V5'!B$300:B$400,0)),"  ")</f>
        <v xml:space="preserve">  </v>
      </c>
      <c r="AE98" s="563" t="str">
        <f>IFERROR(INDEX('V6'!C$300:C$400,MATCH("*"&amp;L98&amp;"*",'V6'!B$300:B$400,0)),"  ")</f>
        <v xml:space="preserve">  </v>
      </c>
      <c r="AF98" s="563" t="str">
        <f>IFERROR(INDEX('V7'!C$300:C$400,MATCH("*"&amp;L98&amp;"*",'V7'!B$300:B$400,0)),"  ")</f>
        <v xml:space="preserve">  </v>
      </c>
      <c r="AG98" s="563" t="str">
        <f>IFERROR(INDEX('V8'!C$300:C$400,MATCH("*"&amp;L98&amp;"*",'V8'!B$300:B$400,0)),"  ")</f>
        <v xml:space="preserve">  </v>
      </c>
      <c r="AH98" s="563" t="str">
        <f>IFERROR(INDEX('V9'!C$300:C$400,MATCH("*"&amp;L98&amp;"*",'V9'!B$300:B$400,0)),"  ")</f>
        <v xml:space="preserve">  </v>
      </c>
      <c r="AI98" s="563" t="str">
        <f>IFERROR(INDEX('V10'!C$300:C$400,MATCH("*"&amp;L98&amp;"*",'V10'!B$300:B$400,0)),"  ")</f>
        <v xml:space="preserve">  </v>
      </c>
      <c r="AJ98" s="564" t="str">
        <f t="shared" si="106"/>
        <v/>
      </c>
      <c r="AK98" s="565">
        <f t="shared" si="107"/>
        <v>0</v>
      </c>
      <c r="AL98" s="566" t="str">
        <f t="shared" si="108"/>
        <v/>
      </c>
      <c r="AM98" s="567" t="str">
        <f>IFERROR(INDEX(#REF!,MATCH("*"&amp;L98&amp;"*",#REF!,0)),"  ")</f>
        <v xml:space="preserve">  </v>
      </c>
      <c r="AN98" s="568">
        <f t="shared" si="109"/>
        <v>0</v>
      </c>
      <c r="AO98" s="469">
        <f t="shared" si="110"/>
        <v>0</v>
      </c>
      <c r="AP98" s="469">
        <f t="shared" si="111"/>
        <v>0</v>
      </c>
      <c r="AQ98" s="569"/>
      <c r="AR98" s="569"/>
      <c r="AS98" s="569"/>
      <c r="AT98" s="570">
        <f t="shared" si="112"/>
        <v>1E-4</v>
      </c>
      <c r="AU98" s="571">
        <f t="shared" si="113"/>
        <v>1E-4</v>
      </c>
      <c r="AV98" s="571">
        <f t="shared" si="114"/>
        <v>2.0000000000000001E-4</v>
      </c>
      <c r="AW98" s="571">
        <f t="shared" si="115"/>
        <v>2.9999999999999997E-4</v>
      </c>
      <c r="AX98" s="571">
        <f t="shared" si="116"/>
        <v>4.0000000000000002E-4</v>
      </c>
      <c r="AY98" s="571">
        <f t="shared" si="117"/>
        <v>5.0000000000000001E-4</v>
      </c>
      <c r="AZ98" s="571">
        <f t="shared" si="118"/>
        <v>5.9999999999999995E-4</v>
      </c>
      <c r="BA98" s="571">
        <f t="shared" si="119"/>
        <v>6.9999999999999999E-4</v>
      </c>
      <c r="BB98" s="571">
        <f t="shared" si="120"/>
        <v>8.0000000000000004E-4</v>
      </c>
      <c r="BC98" s="571">
        <f t="shared" si="121"/>
        <v>8.9999999999999998E-4</v>
      </c>
      <c r="BD98" s="571">
        <f t="shared" si="122"/>
        <v>1E-3</v>
      </c>
      <c r="BE98" s="569"/>
      <c r="BF98" s="569"/>
      <c r="BG98" s="569"/>
      <c r="BH98" s="569"/>
      <c r="BI98" s="377" t="e">
        <f t="shared" si="123"/>
        <v>#VALUE!</v>
      </c>
      <c r="BJ98" s="377" t="e">
        <f t="shared" si="124"/>
        <v>#VALUE!</v>
      </c>
      <c r="BK98" s="377" t="e">
        <f t="shared" si="125"/>
        <v>#VALUE!</v>
      </c>
      <c r="BL98" s="377" t="e">
        <f t="shared" si="126"/>
        <v>#VALUE!</v>
      </c>
      <c r="BM98" s="377" t="e">
        <f t="shared" si="127"/>
        <v>#VALUE!</v>
      </c>
      <c r="BN98" s="377" t="e">
        <f t="shared" si="128"/>
        <v>#VALUE!</v>
      </c>
      <c r="BO98" s="377" t="e">
        <f t="shared" si="129"/>
        <v>#VALUE!</v>
      </c>
      <c r="BP98" s="377" t="e">
        <f t="shared" si="130"/>
        <v>#VALUE!</v>
      </c>
      <c r="BQ98" s="377" t="e">
        <f t="shared" si="131"/>
        <v>#VALUE!</v>
      </c>
      <c r="BR98" s="377" t="e">
        <f t="shared" si="132"/>
        <v>#VALUE!</v>
      </c>
    </row>
    <row r="99" spans="1:70" ht="12.75" hidden="1" customHeight="1" x14ac:dyDescent="0.2">
      <c r="A99" s="484" t="str">
        <f t="shared" si="89"/>
        <v/>
      </c>
      <c r="B99" s="485">
        <f t="shared" si="90"/>
        <v>-886</v>
      </c>
      <c r="C99" s="486" t="str">
        <f t="shared" si="91"/>
        <v/>
      </c>
      <c r="D99" s="487">
        <f t="shared" si="92"/>
        <v>-886</v>
      </c>
      <c r="E99" s="488" t="str">
        <f t="shared" si="93"/>
        <v/>
      </c>
      <c r="F99" s="489">
        <f t="shared" si="94"/>
        <v>-886</v>
      </c>
      <c r="G99" s="490" t="str">
        <f t="shared" si="95"/>
        <v/>
      </c>
      <c r="H99" s="489">
        <f t="shared" si="96"/>
        <v>114</v>
      </c>
      <c r="I99" s="491" t="str">
        <f t="shared" si="97"/>
        <v/>
      </c>
      <c r="J99" s="554">
        <f t="shared" si="98"/>
        <v>-886</v>
      </c>
      <c r="K99" s="526" t="str">
        <f t="shared" si="99"/>
        <v/>
      </c>
      <c r="L99" s="594" t="s">
        <v>237</v>
      </c>
      <c r="M99" s="556" t="s">
        <v>170</v>
      </c>
      <c r="N99" s="557" t="str">
        <f>IF(M99="","m","")</f>
        <v/>
      </c>
      <c r="O99" s="558"/>
      <c r="P99" s="559"/>
      <c r="Q99" s="560"/>
      <c r="R99" s="539">
        <f>(IF(COUNT(Z99,AA99,AB99,AC99,AD99,AE99,AF99,AG99,AH99,AI99)&lt;10,SUM(Z99,AA99,AB99,AC99,AD99,AE99,AF99,AG99,AH99,AI99),SUM(LARGE((Z99,AA99,AB99,AC99,AD99,AE99,AF99,AG99,AH99,AI99),{1;2;3;4;5;6;7;8;9}))))</f>
        <v>0</v>
      </c>
      <c r="S99" s="561" t="str">
        <f>INDEX([1]ETAPP!B$1:B$32,MATCH(COUNTIF(BI99:BR99,1),[1]ETAPP!A$1:A$32,0))&amp;INDEX([1]ETAPP!B$1:B$32,MATCH(COUNTIF(BI99:BR99,2),[1]ETAPP!A$1:A$32,0))&amp;INDEX([1]ETAPP!B$1:B$32,MATCH(COUNTIF(BI99:BR99,3),[1]ETAPP!A$1:A$32,0))&amp;INDEX([1]ETAPP!B$1:B$32,MATCH(COUNTIF(BI99:BR99,4),[1]ETAPP!A$1:A$32,0))&amp;INDEX([1]ETAPP!B$1:B$32,MATCH(COUNTIF(BI99:BR99,5),[1]ETAPP!A$1:A$32,0))&amp;INDEX([1]ETAPP!B$1:B$32,MATCH(COUNTIF(BI99:BR99,6),[1]ETAPP!A$1:A$32,0))&amp;INDEX([1]ETAPP!B$1:B$32,MATCH(COUNTIF(BI99:BR99,7),[1]ETAPP!A$1:A$32,0))&amp;INDEX([1]ETAPP!B$1:B$32,MATCH(COUNTIF(BI99:BR99,8),[1]ETAPP!A$1:A$32,0))&amp;INDEX([1]ETAPP!B$1:B$32,MATCH(COUNTIF(BI99:BR99,9),[1]ETAPP!A$1:A$32,0))&amp;INDEX([1]ETAPP!B$1:B$32,MATCH(COUNTIF(BI99:BR99,10),[1]ETAPP!A$1:A$32,0))&amp;INDEX([1]ETAPP!B$1:B$32,MATCH(COUNTIF(BI99:BR99,11),[1]ETAPP!A$1:A$32,0))&amp;INDEX([1]ETAPP!B$1:B$32,MATCH(COUNTIF(BI99:BR99,12),[1]ETAPP!A$1:A$32,0))&amp;INDEX([1]ETAPP!B$1:B$32,MATCH(COUNTIF(BI99:BR99,13),[1]ETAPP!A$1:A$32,0))&amp;INDEX([1]ETAPP!B$1:B$32,MATCH(COUNTIF(BI99:BR99,14),[1]ETAPP!A$1:A$32,0))&amp;INDEX([1]ETAPP!B$1:B$32,MATCH(COUNTIF(BI99:BR99,15),[1]ETAPP!A$1:A$32,0))&amp;INDEX([1]ETAPP!B$1:B$32,MATCH(COUNTIF(BI99:BR99,16),[1]ETAPP!A$1:A$32,0))&amp;INDEX([1]ETAPP!B$1:B$32,MATCH(COUNTIF(BI99:BR99,17),[1]ETAPP!A$1:A$32,0))&amp;INDEX([1]ETAPP!B$1:B$32,MATCH(COUNTIF(BI99:BR99,18),[1]ETAPP!A$1:A$32,0))&amp;INDEX([1]ETAPP!B$1:B$32,MATCH(COUNTIF(BI99:BR99,19),[1]ETAPP!A$1:A$32,0))&amp;INDEX([1]ETAPP!B$1:B$32,MATCH(COUNTIF(BI99:BR99,20),[1]ETAPP!A$1:A$32,0))&amp;INDEX([1]ETAPP!B$1:B$32,MATCH(COUNTIF(BI99:BR99,21),[1]ETAPP!A$1:A$32,0))</f>
        <v>000000000000000000000</v>
      </c>
      <c r="T99" s="561" t="str">
        <f t="shared" si="100"/>
        <v>000,0-000000000000000000000</v>
      </c>
      <c r="U99" s="561">
        <f t="shared" si="101"/>
        <v>114</v>
      </c>
      <c r="V99" s="561">
        <f t="shared" si="102"/>
        <v>44</v>
      </c>
      <c r="W99" s="561" t="str">
        <f t="shared" si="103"/>
        <v>000,0-000000000000000000000-044</v>
      </c>
      <c r="X99" s="561">
        <f t="shared" si="104"/>
        <v>93</v>
      </c>
      <c r="Y99" s="562">
        <f t="shared" si="105"/>
        <v>22</v>
      </c>
      <c r="Z99" s="563" t="str">
        <f>IFERROR(INDEX('V1'!C$300:C$400,MATCH("*"&amp;L99&amp;"*",'V1'!B$300:B$400,0)),"  ")</f>
        <v xml:space="preserve">  </v>
      </c>
      <c r="AA99" s="563" t="str">
        <f>IFERROR(INDEX('V2'!C$300:C$400,MATCH("*"&amp;L99&amp;"*",'V2'!B$300:B$400,0)),"  ")</f>
        <v xml:space="preserve">  </v>
      </c>
      <c r="AB99" s="563" t="str">
        <f>IFERROR(INDEX('V3'!C$300:C$400,MATCH("*"&amp;L99&amp;"*",'V3'!B$300:B$400,0)),"  ")</f>
        <v xml:space="preserve">  </v>
      </c>
      <c r="AC99" s="563" t="str">
        <f>IFERROR(INDEX('V4'!C$300:C$400,MATCH("*"&amp;L99&amp;"*",'V4'!B$300:B$400,0)),"  ")</f>
        <v xml:space="preserve">  </v>
      </c>
      <c r="AD99" s="563" t="str">
        <f>IFERROR(INDEX('V5'!C$300:C$400,MATCH("*"&amp;L99&amp;"*",'V5'!B$300:B$400,0)),"  ")</f>
        <v xml:space="preserve">  </v>
      </c>
      <c r="AE99" s="563" t="str">
        <f>IFERROR(INDEX('V6'!C$300:C$400,MATCH("*"&amp;L99&amp;"*",'V6'!B$300:B$400,0)),"  ")</f>
        <v xml:space="preserve">  </v>
      </c>
      <c r="AF99" s="563" t="str">
        <f>IFERROR(INDEX('V7'!C$300:C$400,MATCH("*"&amp;L99&amp;"*",'V7'!B$300:B$400,0)),"  ")</f>
        <v xml:space="preserve">  </v>
      </c>
      <c r="AG99" s="563" t="str">
        <f>IFERROR(INDEX('V8'!C$300:C$400,MATCH("*"&amp;L99&amp;"*",'V8'!B$300:B$400,0)),"  ")</f>
        <v xml:space="preserve">  </v>
      </c>
      <c r="AH99" s="563" t="str">
        <f>IFERROR(INDEX('V9'!C$300:C$400,MATCH("*"&amp;L99&amp;"*",'V9'!B$300:B$400,0)),"  ")</f>
        <v xml:space="preserve">  </v>
      </c>
      <c r="AI99" s="563" t="str">
        <f>IFERROR(INDEX('V10'!C$300:C$400,MATCH("*"&amp;L99&amp;"*",'V10'!B$300:B$400,0)),"  ")</f>
        <v xml:space="preserve">  </v>
      </c>
      <c r="AJ99" s="564" t="str">
        <f t="shared" si="106"/>
        <v/>
      </c>
      <c r="AK99" s="565">
        <f t="shared" si="107"/>
        <v>0</v>
      </c>
      <c r="AL99" s="566" t="str">
        <f t="shared" si="108"/>
        <v/>
      </c>
      <c r="AM99" s="567" t="str">
        <f>IFERROR(INDEX(#REF!,MATCH("*"&amp;L99&amp;"*",#REF!,0)),"  ")</f>
        <v xml:space="preserve">  </v>
      </c>
      <c r="AN99" s="568">
        <f t="shared" si="109"/>
        <v>0</v>
      </c>
      <c r="AO99" s="469">
        <f t="shared" si="110"/>
        <v>0</v>
      </c>
      <c r="AP99" s="469">
        <f t="shared" si="111"/>
        <v>0</v>
      </c>
      <c r="AQ99" s="569"/>
      <c r="AR99" s="569"/>
      <c r="AS99" s="569"/>
      <c r="AT99" s="570">
        <f t="shared" si="112"/>
        <v>1E-4</v>
      </c>
      <c r="AU99" s="571">
        <f t="shared" si="113"/>
        <v>1E-4</v>
      </c>
      <c r="AV99" s="571">
        <f t="shared" si="114"/>
        <v>2.0000000000000001E-4</v>
      </c>
      <c r="AW99" s="571">
        <f t="shared" si="115"/>
        <v>2.9999999999999997E-4</v>
      </c>
      <c r="AX99" s="571">
        <f t="shared" si="116"/>
        <v>4.0000000000000002E-4</v>
      </c>
      <c r="AY99" s="571">
        <f t="shared" si="117"/>
        <v>5.0000000000000001E-4</v>
      </c>
      <c r="AZ99" s="571">
        <f t="shared" si="118"/>
        <v>5.9999999999999995E-4</v>
      </c>
      <c r="BA99" s="571">
        <f t="shared" si="119"/>
        <v>6.9999999999999999E-4</v>
      </c>
      <c r="BB99" s="571">
        <f t="shared" si="120"/>
        <v>8.0000000000000004E-4</v>
      </c>
      <c r="BC99" s="571">
        <f t="shared" si="121"/>
        <v>8.9999999999999998E-4</v>
      </c>
      <c r="BD99" s="571">
        <f t="shared" si="122"/>
        <v>1E-3</v>
      </c>
      <c r="BE99" s="569"/>
      <c r="BF99" s="569"/>
      <c r="BG99" s="569"/>
      <c r="BH99" s="569"/>
      <c r="BI99" s="377" t="e">
        <f t="shared" si="123"/>
        <v>#VALUE!</v>
      </c>
      <c r="BJ99" s="377" t="e">
        <f t="shared" si="124"/>
        <v>#VALUE!</v>
      </c>
      <c r="BK99" s="377" t="e">
        <f t="shared" si="125"/>
        <v>#VALUE!</v>
      </c>
      <c r="BL99" s="377" t="e">
        <f t="shared" si="126"/>
        <v>#VALUE!</v>
      </c>
      <c r="BM99" s="377" t="e">
        <f t="shared" si="127"/>
        <v>#VALUE!</v>
      </c>
      <c r="BN99" s="377" t="e">
        <f t="shared" si="128"/>
        <v>#VALUE!</v>
      </c>
      <c r="BO99" s="377" t="e">
        <f t="shared" si="129"/>
        <v>#VALUE!</v>
      </c>
      <c r="BP99" s="377" t="e">
        <f t="shared" si="130"/>
        <v>#VALUE!</v>
      </c>
      <c r="BQ99" s="377" t="e">
        <f t="shared" si="131"/>
        <v>#VALUE!</v>
      </c>
      <c r="BR99" s="377" t="e">
        <f t="shared" si="132"/>
        <v>#VALUE!</v>
      </c>
    </row>
    <row r="100" spans="1:70" ht="12.75" hidden="1" customHeight="1" x14ac:dyDescent="0.2">
      <c r="A100" s="484" t="str">
        <f t="shared" si="89"/>
        <v/>
      </c>
      <c r="B100" s="485">
        <f t="shared" si="90"/>
        <v>-886</v>
      </c>
      <c r="C100" s="486" t="str">
        <f t="shared" si="91"/>
        <v/>
      </c>
      <c r="D100" s="487">
        <f t="shared" si="92"/>
        <v>-886</v>
      </c>
      <c r="E100" s="488" t="str">
        <f t="shared" si="93"/>
        <v/>
      </c>
      <c r="F100" s="489">
        <f t="shared" si="94"/>
        <v>114</v>
      </c>
      <c r="G100" s="490" t="str">
        <f t="shared" si="95"/>
        <v/>
      </c>
      <c r="H100" s="489">
        <f t="shared" si="96"/>
        <v>-886</v>
      </c>
      <c r="I100" s="491" t="str">
        <f t="shared" si="97"/>
        <v/>
      </c>
      <c r="J100" s="554">
        <f t="shared" si="98"/>
        <v>114</v>
      </c>
      <c r="K100" s="526" t="str">
        <f t="shared" si="99"/>
        <v/>
      </c>
      <c r="L100" s="595" t="s">
        <v>290</v>
      </c>
      <c r="M100" s="556"/>
      <c r="N100" s="557" t="s">
        <v>168</v>
      </c>
      <c r="O100" s="579" t="s">
        <v>190</v>
      </c>
      <c r="P100" s="559"/>
      <c r="Q100" s="560"/>
      <c r="R100" s="539">
        <f>(IF(COUNT(Z100,AA100,AB100,AC100,AD100,AE100,AF100,AG100,AH100,AI100)&lt;10,SUM(Z100,AA100,AB100,AC100,AD100,AE100,AF100,AG100,AH100,AI100),SUM(LARGE((Z100,AA100,AB100,AC100,AD100,AE100,AF100,AG100,AH100,AI100),{1;2;3;4;5;6;7;8;9}))))</f>
        <v>0</v>
      </c>
      <c r="S100" s="561" t="str">
        <f>INDEX([1]ETAPP!B$1:B$32,MATCH(COUNTIF(BI100:BR100,1),[1]ETAPP!A$1:A$32,0))&amp;INDEX([1]ETAPP!B$1:B$32,MATCH(COUNTIF(BI100:BR100,2),[1]ETAPP!A$1:A$32,0))&amp;INDEX([1]ETAPP!B$1:B$32,MATCH(COUNTIF(BI100:BR100,3),[1]ETAPP!A$1:A$32,0))&amp;INDEX([1]ETAPP!B$1:B$32,MATCH(COUNTIF(BI100:BR100,4),[1]ETAPP!A$1:A$32,0))&amp;INDEX([1]ETAPP!B$1:B$32,MATCH(COUNTIF(BI100:BR100,5),[1]ETAPP!A$1:A$32,0))&amp;INDEX([1]ETAPP!B$1:B$32,MATCH(COUNTIF(BI100:BR100,6),[1]ETAPP!A$1:A$32,0))&amp;INDEX([1]ETAPP!B$1:B$32,MATCH(COUNTIF(BI100:BR100,7),[1]ETAPP!A$1:A$32,0))&amp;INDEX([1]ETAPP!B$1:B$32,MATCH(COUNTIF(BI100:BR100,8),[1]ETAPP!A$1:A$32,0))&amp;INDEX([1]ETAPP!B$1:B$32,MATCH(COUNTIF(BI100:BR100,9),[1]ETAPP!A$1:A$32,0))&amp;INDEX([1]ETAPP!B$1:B$32,MATCH(COUNTIF(BI100:BR100,10),[1]ETAPP!A$1:A$32,0))&amp;INDEX([1]ETAPP!B$1:B$32,MATCH(COUNTIF(BI100:BR100,11),[1]ETAPP!A$1:A$32,0))&amp;INDEX([1]ETAPP!B$1:B$32,MATCH(COUNTIF(BI100:BR100,12),[1]ETAPP!A$1:A$32,0))&amp;INDEX([1]ETAPP!B$1:B$32,MATCH(COUNTIF(BI100:BR100,13),[1]ETAPP!A$1:A$32,0))&amp;INDEX([1]ETAPP!B$1:B$32,MATCH(COUNTIF(BI100:BR100,14),[1]ETAPP!A$1:A$32,0))&amp;INDEX([1]ETAPP!B$1:B$32,MATCH(COUNTIF(BI100:BR100,15),[1]ETAPP!A$1:A$32,0))&amp;INDEX([1]ETAPP!B$1:B$32,MATCH(COUNTIF(BI100:BR100,16),[1]ETAPP!A$1:A$32,0))&amp;INDEX([1]ETAPP!B$1:B$32,MATCH(COUNTIF(BI100:BR100,17),[1]ETAPP!A$1:A$32,0))&amp;INDEX([1]ETAPP!B$1:B$32,MATCH(COUNTIF(BI100:BR100,18),[1]ETAPP!A$1:A$32,0))&amp;INDEX([1]ETAPP!B$1:B$32,MATCH(COUNTIF(BI100:BR100,19),[1]ETAPP!A$1:A$32,0))&amp;INDEX([1]ETAPP!B$1:B$32,MATCH(COUNTIF(BI100:BR100,20),[1]ETAPP!A$1:A$32,0))&amp;INDEX([1]ETAPP!B$1:B$32,MATCH(COUNTIF(BI100:BR100,21),[1]ETAPP!A$1:A$32,0))</f>
        <v>000000000000000000000</v>
      </c>
      <c r="T100" s="561" t="str">
        <f t="shared" si="100"/>
        <v>000,0-000000000000000000000</v>
      </c>
      <c r="U100" s="561">
        <f t="shared" si="101"/>
        <v>114</v>
      </c>
      <c r="V100" s="561">
        <f t="shared" si="102"/>
        <v>37</v>
      </c>
      <c r="W100" s="561" t="str">
        <f t="shared" si="103"/>
        <v>000,0-000000000000000000000-037</v>
      </c>
      <c r="X100" s="561">
        <f t="shared" si="104"/>
        <v>94</v>
      </c>
      <c r="Y100" s="562">
        <f t="shared" si="105"/>
        <v>21</v>
      </c>
      <c r="Z100" s="563" t="str">
        <f>IFERROR(INDEX('V1'!C$300:C$400,MATCH("*"&amp;L100&amp;"*",'V1'!B$300:B$400,0)),"  ")</f>
        <v xml:space="preserve">  </v>
      </c>
      <c r="AA100" s="563" t="str">
        <f>IFERROR(INDEX('V2'!C$300:C$400,MATCH("*"&amp;L100&amp;"*",'V2'!B$300:B$400,0)),"  ")</f>
        <v xml:space="preserve">  </v>
      </c>
      <c r="AB100" s="563" t="str">
        <f>IFERROR(INDEX('V3'!C$300:C$400,MATCH("*"&amp;L100&amp;"*",'V3'!B$300:B$400,0)),"  ")</f>
        <v xml:space="preserve">  </v>
      </c>
      <c r="AC100" s="563" t="str">
        <f>IFERROR(INDEX('V4'!C$300:C$400,MATCH("*"&amp;L100&amp;"*",'V4'!B$300:B$400,0)),"  ")</f>
        <v xml:space="preserve">  </v>
      </c>
      <c r="AD100" s="563" t="str">
        <f>IFERROR(INDEX('V5'!C$300:C$400,MATCH("*"&amp;L100&amp;"*",'V5'!B$300:B$400,0)),"  ")</f>
        <v xml:space="preserve">  </v>
      </c>
      <c r="AE100" s="563" t="str">
        <f>IFERROR(INDEX('V6'!C$300:C$400,MATCH("*"&amp;L100&amp;"*",'V6'!B$300:B$400,0)),"  ")</f>
        <v xml:space="preserve">  </v>
      </c>
      <c r="AF100" s="563" t="str">
        <f>IFERROR(INDEX('V7'!C$300:C$400,MATCH("*"&amp;L100&amp;"*",'V7'!B$300:B$400,0)),"  ")</f>
        <v xml:space="preserve">  </v>
      </c>
      <c r="AG100" s="563" t="str">
        <f>IFERROR(INDEX('V8'!C$300:C$400,MATCH("*"&amp;L100&amp;"*",'V8'!B$300:B$400,0)),"  ")</f>
        <v xml:space="preserve">  </v>
      </c>
      <c r="AH100" s="563" t="str">
        <f>IFERROR(INDEX('V9'!C$300:C$400,MATCH("*"&amp;L100&amp;"*",'V9'!B$300:B$400,0)),"  ")</f>
        <v xml:space="preserve">  </v>
      </c>
      <c r="AI100" s="563" t="str">
        <f>IFERROR(INDEX('V10'!C$300:C$400,MATCH("*"&amp;L100&amp;"*",'V10'!B$300:B$400,0)),"  ")</f>
        <v xml:space="preserve">  </v>
      </c>
      <c r="AJ100" s="564" t="str">
        <f t="shared" si="106"/>
        <v/>
      </c>
      <c r="AK100" s="565">
        <f t="shared" si="107"/>
        <v>0</v>
      </c>
      <c r="AL100" s="566" t="str">
        <f t="shared" si="108"/>
        <v/>
      </c>
      <c r="AM100" s="567" t="str">
        <f>IFERROR(INDEX(#REF!,MATCH("*"&amp;L100&amp;"*",#REF!,0)),"  ")</f>
        <v xml:space="preserve">  </v>
      </c>
      <c r="AN100" s="568">
        <f t="shared" si="109"/>
        <v>0</v>
      </c>
      <c r="AO100" s="469">
        <f t="shared" si="110"/>
        <v>0</v>
      </c>
      <c r="AP100" s="469">
        <f t="shared" si="111"/>
        <v>0</v>
      </c>
      <c r="AQ100" s="569"/>
      <c r="AR100" s="569"/>
      <c r="AS100" s="569"/>
      <c r="AT100" s="570">
        <f t="shared" si="112"/>
        <v>1E-4</v>
      </c>
      <c r="AU100" s="571">
        <f t="shared" si="113"/>
        <v>1E-4</v>
      </c>
      <c r="AV100" s="571">
        <f t="shared" si="114"/>
        <v>2.0000000000000001E-4</v>
      </c>
      <c r="AW100" s="571">
        <f t="shared" si="115"/>
        <v>2.9999999999999997E-4</v>
      </c>
      <c r="AX100" s="571">
        <f t="shared" si="116"/>
        <v>4.0000000000000002E-4</v>
      </c>
      <c r="AY100" s="571">
        <f t="shared" si="117"/>
        <v>5.0000000000000001E-4</v>
      </c>
      <c r="AZ100" s="571">
        <f t="shared" si="118"/>
        <v>5.9999999999999995E-4</v>
      </c>
      <c r="BA100" s="571">
        <f t="shared" si="119"/>
        <v>6.9999999999999999E-4</v>
      </c>
      <c r="BB100" s="571">
        <f t="shared" si="120"/>
        <v>8.0000000000000004E-4</v>
      </c>
      <c r="BC100" s="571">
        <f t="shared" si="121"/>
        <v>8.9999999999999998E-4</v>
      </c>
      <c r="BD100" s="571">
        <f t="shared" si="122"/>
        <v>1E-3</v>
      </c>
      <c r="BE100" s="569"/>
      <c r="BF100" s="569"/>
      <c r="BG100" s="569"/>
      <c r="BH100" s="569"/>
      <c r="BI100" s="377" t="e">
        <f t="shared" si="123"/>
        <v>#VALUE!</v>
      </c>
      <c r="BJ100" s="377" t="e">
        <f t="shared" si="124"/>
        <v>#VALUE!</v>
      </c>
      <c r="BK100" s="377" t="e">
        <f t="shared" si="125"/>
        <v>#VALUE!</v>
      </c>
      <c r="BL100" s="377" t="e">
        <f t="shared" si="126"/>
        <v>#VALUE!</v>
      </c>
      <c r="BM100" s="377" t="e">
        <f t="shared" si="127"/>
        <v>#VALUE!</v>
      </c>
      <c r="BN100" s="377" t="e">
        <f t="shared" si="128"/>
        <v>#VALUE!</v>
      </c>
      <c r="BO100" s="377" t="e">
        <f t="shared" si="129"/>
        <v>#VALUE!</v>
      </c>
      <c r="BP100" s="377" t="e">
        <f t="shared" si="130"/>
        <v>#VALUE!</v>
      </c>
      <c r="BQ100" s="377" t="e">
        <f t="shared" si="131"/>
        <v>#VALUE!</v>
      </c>
      <c r="BR100" s="377" t="e">
        <f t="shared" si="132"/>
        <v>#VALUE!</v>
      </c>
    </row>
    <row r="101" spans="1:70" ht="12.75" hidden="1" customHeight="1" x14ac:dyDescent="0.2">
      <c r="A101" s="484" t="str">
        <f t="shared" si="89"/>
        <v/>
      </c>
      <c r="B101" s="485">
        <f t="shared" si="90"/>
        <v>-886</v>
      </c>
      <c r="C101" s="486" t="str">
        <f t="shared" si="91"/>
        <v/>
      </c>
      <c r="D101" s="487">
        <f t="shared" si="92"/>
        <v>-886</v>
      </c>
      <c r="E101" s="488" t="str">
        <f t="shared" si="93"/>
        <v/>
      </c>
      <c r="F101" s="489">
        <f t="shared" si="94"/>
        <v>114</v>
      </c>
      <c r="G101" s="490" t="str">
        <f t="shared" si="95"/>
        <v/>
      </c>
      <c r="H101" s="489">
        <f t="shared" si="96"/>
        <v>-886</v>
      </c>
      <c r="I101" s="491" t="str">
        <f t="shared" si="97"/>
        <v/>
      </c>
      <c r="J101" s="554">
        <f t="shared" si="98"/>
        <v>-886</v>
      </c>
      <c r="K101" s="526" t="str">
        <f t="shared" si="99"/>
        <v/>
      </c>
      <c r="L101" s="585" t="s">
        <v>240</v>
      </c>
      <c r="M101" s="556"/>
      <c r="N101" s="557" t="str">
        <f>IF(M101="","m","")</f>
        <v>m</v>
      </c>
      <c r="O101" s="558"/>
      <c r="P101" s="559"/>
      <c r="Q101" s="560"/>
      <c r="R101" s="539">
        <f>(IF(COUNT(Z101,AA101,AB101,AC101,AD101,AE101,AF101,AG101,AH101,AI101)&lt;10,SUM(Z101,AA101,AB101,AC101,AD101,AE101,AF101,AG101,AH101,AI101),SUM(LARGE((Z101,AA101,AB101,AC101,AD101,AE101,AF101,AG101,AH101,AI101),{1;2;3;4;5;6;7;8;9}))))</f>
        <v>0</v>
      </c>
      <c r="S101" s="561" t="str">
        <f>INDEX([1]ETAPP!B$1:B$32,MATCH(COUNTIF(BI101:BR101,1),[1]ETAPP!A$1:A$32,0))&amp;INDEX([1]ETAPP!B$1:B$32,MATCH(COUNTIF(BI101:BR101,2),[1]ETAPP!A$1:A$32,0))&amp;INDEX([1]ETAPP!B$1:B$32,MATCH(COUNTIF(BI101:BR101,3),[1]ETAPP!A$1:A$32,0))&amp;INDEX([1]ETAPP!B$1:B$32,MATCH(COUNTIF(BI101:BR101,4),[1]ETAPP!A$1:A$32,0))&amp;INDEX([1]ETAPP!B$1:B$32,MATCH(COUNTIF(BI101:BR101,5),[1]ETAPP!A$1:A$32,0))&amp;INDEX([1]ETAPP!B$1:B$32,MATCH(COUNTIF(BI101:BR101,6),[1]ETAPP!A$1:A$32,0))&amp;INDEX([1]ETAPP!B$1:B$32,MATCH(COUNTIF(BI101:BR101,7),[1]ETAPP!A$1:A$32,0))&amp;INDEX([1]ETAPP!B$1:B$32,MATCH(COUNTIF(BI101:BR101,8),[1]ETAPP!A$1:A$32,0))&amp;INDEX([1]ETAPP!B$1:B$32,MATCH(COUNTIF(BI101:BR101,9),[1]ETAPP!A$1:A$32,0))&amp;INDEX([1]ETAPP!B$1:B$32,MATCH(COUNTIF(BI101:BR101,10),[1]ETAPP!A$1:A$32,0))&amp;INDEX([1]ETAPP!B$1:B$32,MATCH(COUNTIF(BI101:BR101,11),[1]ETAPP!A$1:A$32,0))&amp;INDEX([1]ETAPP!B$1:B$32,MATCH(COUNTIF(BI101:BR101,12),[1]ETAPP!A$1:A$32,0))&amp;INDEX([1]ETAPP!B$1:B$32,MATCH(COUNTIF(BI101:BR101,13),[1]ETAPP!A$1:A$32,0))&amp;INDEX([1]ETAPP!B$1:B$32,MATCH(COUNTIF(BI101:BR101,14),[1]ETAPP!A$1:A$32,0))&amp;INDEX([1]ETAPP!B$1:B$32,MATCH(COUNTIF(BI101:BR101,15),[1]ETAPP!A$1:A$32,0))&amp;INDEX([1]ETAPP!B$1:B$32,MATCH(COUNTIF(BI101:BR101,16),[1]ETAPP!A$1:A$32,0))&amp;INDEX([1]ETAPP!B$1:B$32,MATCH(COUNTIF(BI101:BR101,17),[1]ETAPP!A$1:A$32,0))&amp;INDEX([1]ETAPP!B$1:B$32,MATCH(COUNTIF(BI101:BR101,18),[1]ETAPP!A$1:A$32,0))&amp;INDEX([1]ETAPP!B$1:B$32,MATCH(COUNTIF(BI101:BR101,19),[1]ETAPP!A$1:A$32,0))&amp;INDEX([1]ETAPP!B$1:B$32,MATCH(COUNTIF(BI101:BR101,20),[1]ETAPP!A$1:A$32,0))&amp;INDEX([1]ETAPP!B$1:B$32,MATCH(COUNTIF(BI101:BR101,21),[1]ETAPP!A$1:A$32,0))</f>
        <v>000000000000000000000</v>
      </c>
      <c r="T101" s="561" t="str">
        <f t="shared" si="100"/>
        <v>000,0-000000000000000000000</v>
      </c>
      <c r="U101" s="561">
        <f t="shared" si="101"/>
        <v>114</v>
      </c>
      <c r="V101" s="561">
        <f t="shared" si="102"/>
        <v>34</v>
      </c>
      <c r="W101" s="561" t="str">
        <f t="shared" si="103"/>
        <v>000,0-000000000000000000000-034</v>
      </c>
      <c r="X101" s="561">
        <f t="shared" si="104"/>
        <v>95</v>
      </c>
      <c r="Y101" s="562">
        <f t="shared" si="105"/>
        <v>20</v>
      </c>
      <c r="Z101" s="563" t="str">
        <f>IFERROR(INDEX('V1'!C$300:C$400,MATCH("*"&amp;L101&amp;"*",'V1'!B$300:B$400,0)),"  ")</f>
        <v xml:space="preserve">  </v>
      </c>
      <c r="AA101" s="563" t="str">
        <f>IFERROR(INDEX('V2'!C$300:C$400,MATCH("*"&amp;L101&amp;"*",'V2'!B$300:B$400,0)),"  ")</f>
        <v xml:space="preserve">  </v>
      </c>
      <c r="AB101" s="563" t="str">
        <f>IFERROR(INDEX('V3'!C$300:C$400,MATCH("*"&amp;L101&amp;"*",'V3'!B$300:B$400,0)),"  ")</f>
        <v xml:space="preserve">  </v>
      </c>
      <c r="AC101" s="563" t="str">
        <f>IFERROR(INDEX('V4'!C$300:C$400,MATCH("*"&amp;L101&amp;"*",'V4'!B$300:B$400,0)),"  ")</f>
        <v xml:space="preserve">  </v>
      </c>
      <c r="AD101" s="563" t="str">
        <f>IFERROR(INDEX('V5'!C$300:C$400,MATCH("*"&amp;L101&amp;"*",'V5'!B$300:B$400,0)),"  ")</f>
        <v xml:space="preserve">  </v>
      </c>
      <c r="AE101" s="563" t="str">
        <f>IFERROR(INDEX('V6'!C$300:C$400,MATCH("*"&amp;L101&amp;"*",'V6'!B$300:B$400,0)),"  ")</f>
        <v xml:space="preserve">  </v>
      </c>
      <c r="AF101" s="563" t="str">
        <f>IFERROR(INDEX('V7'!C$300:C$400,MATCH("*"&amp;L101&amp;"*",'V7'!B$300:B$400,0)),"  ")</f>
        <v xml:space="preserve">  </v>
      </c>
      <c r="AG101" s="563" t="str">
        <f>IFERROR(INDEX('V8'!C$300:C$400,MATCH("*"&amp;L101&amp;"*",'V8'!B$300:B$400,0)),"  ")</f>
        <v xml:space="preserve">  </v>
      </c>
      <c r="AH101" s="563" t="str">
        <f>IFERROR(INDEX('V9'!C$300:C$400,MATCH("*"&amp;L101&amp;"*",'V9'!B$300:B$400,0)),"  ")</f>
        <v xml:space="preserve">  </v>
      </c>
      <c r="AI101" s="563" t="str">
        <f>IFERROR(INDEX('V10'!C$300:C$400,MATCH("*"&amp;L101&amp;"*",'V10'!B$300:B$400,0)),"  ")</f>
        <v xml:space="preserve">  </v>
      </c>
      <c r="AJ101" s="564" t="str">
        <f t="shared" si="106"/>
        <v/>
      </c>
      <c r="AK101" s="565">
        <f t="shared" si="107"/>
        <v>0</v>
      </c>
      <c r="AL101" s="566" t="str">
        <f t="shared" si="108"/>
        <v/>
      </c>
      <c r="AM101" s="567" t="str">
        <f>IFERROR(INDEX(#REF!,MATCH("*"&amp;L101&amp;"*",#REF!,0)),"  ")</f>
        <v xml:space="preserve">  </v>
      </c>
      <c r="AN101" s="568">
        <f t="shared" si="109"/>
        <v>0</v>
      </c>
      <c r="AO101" s="469">
        <f t="shared" si="110"/>
        <v>0</v>
      </c>
      <c r="AP101" s="469">
        <f t="shared" si="111"/>
        <v>0</v>
      </c>
      <c r="AQ101" s="569"/>
      <c r="AR101" s="569"/>
      <c r="AS101" s="569"/>
      <c r="AT101" s="570">
        <f t="shared" si="112"/>
        <v>1E-4</v>
      </c>
      <c r="AU101" s="571">
        <f t="shared" si="113"/>
        <v>1E-4</v>
      </c>
      <c r="AV101" s="571">
        <f t="shared" si="114"/>
        <v>2.0000000000000001E-4</v>
      </c>
      <c r="AW101" s="571">
        <f t="shared" si="115"/>
        <v>2.9999999999999997E-4</v>
      </c>
      <c r="AX101" s="571">
        <f t="shared" si="116"/>
        <v>4.0000000000000002E-4</v>
      </c>
      <c r="AY101" s="571">
        <f t="shared" si="117"/>
        <v>5.0000000000000001E-4</v>
      </c>
      <c r="AZ101" s="571">
        <f t="shared" si="118"/>
        <v>5.9999999999999995E-4</v>
      </c>
      <c r="BA101" s="571">
        <f t="shared" si="119"/>
        <v>6.9999999999999999E-4</v>
      </c>
      <c r="BB101" s="571">
        <f t="shared" si="120"/>
        <v>8.0000000000000004E-4</v>
      </c>
      <c r="BC101" s="571">
        <f t="shared" si="121"/>
        <v>8.9999999999999998E-4</v>
      </c>
      <c r="BD101" s="571">
        <f t="shared" si="122"/>
        <v>1E-3</v>
      </c>
      <c r="BE101" s="569"/>
      <c r="BF101" s="569"/>
      <c r="BG101" s="569"/>
      <c r="BH101" s="569"/>
      <c r="BI101" s="377" t="e">
        <f t="shared" si="123"/>
        <v>#VALUE!</v>
      </c>
      <c r="BJ101" s="377" t="e">
        <f t="shared" si="124"/>
        <v>#VALUE!</v>
      </c>
      <c r="BK101" s="377" t="e">
        <f t="shared" si="125"/>
        <v>#VALUE!</v>
      </c>
      <c r="BL101" s="377" t="e">
        <f t="shared" si="126"/>
        <v>#VALUE!</v>
      </c>
      <c r="BM101" s="377" t="e">
        <f t="shared" si="127"/>
        <v>#VALUE!</v>
      </c>
      <c r="BN101" s="377" t="e">
        <f t="shared" si="128"/>
        <v>#VALUE!</v>
      </c>
      <c r="BO101" s="377" t="e">
        <f t="shared" si="129"/>
        <v>#VALUE!</v>
      </c>
      <c r="BP101" s="377" t="e">
        <f t="shared" si="130"/>
        <v>#VALUE!</v>
      </c>
      <c r="BQ101" s="377" t="e">
        <f t="shared" si="131"/>
        <v>#VALUE!</v>
      </c>
      <c r="BR101" s="377" t="e">
        <f t="shared" si="132"/>
        <v>#VALUE!</v>
      </c>
    </row>
    <row r="102" spans="1:70" ht="12.75" hidden="1" customHeight="1" x14ac:dyDescent="0.2">
      <c r="A102" s="484" t="str">
        <f t="shared" si="89"/>
        <v/>
      </c>
      <c r="B102" s="485">
        <f t="shared" si="90"/>
        <v>114</v>
      </c>
      <c r="C102" s="486" t="str">
        <f t="shared" si="91"/>
        <v/>
      </c>
      <c r="D102" s="487">
        <f t="shared" si="92"/>
        <v>-886</v>
      </c>
      <c r="E102" s="488" t="str">
        <f t="shared" si="93"/>
        <v/>
      </c>
      <c r="F102" s="489">
        <f t="shared" si="94"/>
        <v>114</v>
      </c>
      <c r="G102" s="490" t="str">
        <f t="shared" si="95"/>
        <v/>
      </c>
      <c r="H102" s="489">
        <f t="shared" si="96"/>
        <v>-886</v>
      </c>
      <c r="I102" s="491" t="str">
        <f t="shared" si="97"/>
        <v/>
      </c>
      <c r="J102" s="554">
        <f t="shared" si="98"/>
        <v>114</v>
      </c>
      <c r="K102" s="526" t="str">
        <f t="shared" si="99"/>
        <v/>
      </c>
      <c r="L102" s="555" t="s">
        <v>241</v>
      </c>
      <c r="M102" s="556"/>
      <c r="N102" s="557" t="s">
        <v>168</v>
      </c>
      <c r="O102" s="579" t="s">
        <v>190</v>
      </c>
      <c r="P102" s="559"/>
      <c r="Q102" s="560" t="s">
        <v>148</v>
      </c>
      <c r="R102" s="539">
        <f>(IF(COUNT(Z102,AA102,AB102,AC102,AD102,AE102,AF102,AG102,AH102,AI102)&lt;10,SUM(Z102,AA102,AB102,AC102,AD102,AE102,AF102,AG102,AH102,AI102),SUM(LARGE((Z102,AA102,AB102,AC102,AD102,AE102,AF102,AG102,AH102,AI102),{1;2;3;4;5;6;7;8;9}))))</f>
        <v>0</v>
      </c>
      <c r="S102" s="561" t="str">
        <f>INDEX([1]ETAPP!B$1:B$32,MATCH(COUNTIF(BI102:BR102,1),[1]ETAPP!A$1:A$32,0))&amp;INDEX([1]ETAPP!B$1:B$32,MATCH(COUNTIF(BI102:BR102,2),[1]ETAPP!A$1:A$32,0))&amp;INDEX([1]ETAPP!B$1:B$32,MATCH(COUNTIF(BI102:BR102,3),[1]ETAPP!A$1:A$32,0))&amp;INDEX([1]ETAPP!B$1:B$32,MATCH(COUNTIF(BI102:BR102,4),[1]ETAPP!A$1:A$32,0))&amp;INDEX([1]ETAPP!B$1:B$32,MATCH(COUNTIF(BI102:BR102,5),[1]ETAPP!A$1:A$32,0))&amp;INDEX([1]ETAPP!B$1:B$32,MATCH(COUNTIF(BI102:BR102,6),[1]ETAPP!A$1:A$32,0))&amp;INDEX([1]ETAPP!B$1:B$32,MATCH(COUNTIF(BI102:BR102,7),[1]ETAPP!A$1:A$32,0))&amp;INDEX([1]ETAPP!B$1:B$32,MATCH(COUNTIF(BI102:BR102,8),[1]ETAPP!A$1:A$32,0))&amp;INDEX([1]ETAPP!B$1:B$32,MATCH(COUNTIF(BI102:BR102,9),[1]ETAPP!A$1:A$32,0))&amp;INDEX([1]ETAPP!B$1:B$32,MATCH(COUNTIF(BI102:BR102,10),[1]ETAPP!A$1:A$32,0))&amp;INDEX([1]ETAPP!B$1:B$32,MATCH(COUNTIF(BI102:BR102,11),[1]ETAPP!A$1:A$32,0))&amp;INDEX([1]ETAPP!B$1:B$32,MATCH(COUNTIF(BI102:BR102,12),[1]ETAPP!A$1:A$32,0))&amp;INDEX([1]ETAPP!B$1:B$32,MATCH(COUNTIF(BI102:BR102,13),[1]ETAPP!A$1:A$32,0))&amp;INDEX([1]ETAPP!B$1:B$32,MATCH(COUNTIF(BI102:BR102,14),[1]ETAPP!A$1:A$32,0))&amp;INDEX([1]ETAPP!B$1:B$32,MATCH(COUNTIF(BI102:BR102,15),[1]ETAPP!A$1:A$32,0))&amp;INDEX([1]ETAPP!B$1:B$32,MATCH(COUNTIF(BI102:BR102,16),[1]ETAPP!A$1:A$32,0))&amp;INDEX([1]ETAPP!B$1:B$32,MATCH(COUNTIF(BI102:BR102,17),[1]ETAPP!A$1:A$32,0))&amp;INDEX([1]ETAPP!B$1:B$32,MATCH(COUNTIF(BI102:BR102,18),[1]ETAPP!A$1:A$32,0))&amp;INDEX([1]ETAPP!B$1:B$32,MATCH(COUNTIF(BI102:BR102,19),[1]ETAPP!A$1:A$32,0))&amp;INDEX([1]ETAPP!B$1:B$32,MATCH(COUNTIF(BI102:BR102,20),[1]ETAPP!A$1:A$32,0))&amp;INDEX([1]ETAPP!B$1:B$32,MATCH(COUNTIF(BI102:BR102,21),[1]ETAPP!A$1:A$32,0))</f>
        <v>000000000000000000000</v>
      </c>
      <c r="T102" s="561" t="str">
        <f t="shared" si="100"/>
        <v>000,0-000000000000000000000</v>
      </c>
      <c r="U102" s="561">
        <f t="shared" si="101"/>
        <v>114</v>
      </c>
      <c r="V102" s="561">
        <f t="shared" si="102"/>
        <v>33</v>
      </c>
      <c r="W102" s="561" t="str">
        <f t="shared" si="103"/>
        <v>000,0-000000000000000000000-033</v>
      </c>
      <c r="X102" s="561">
        <f t="shared" si="104"/>
        <v>96</v>
      </c>
      <c r="Y102" s="562">
        <f t="shared" si="105"/>
        <v>19</v>
      </c>
      <c r="Z102" s="563" t="str">
        <f>IFERROR(INDEX('V1'!C$300:C$400,MATCH("*"&amp;L102&amp;"*",'V1'!B$300:B$400,0)),"  ")</f>
        <v xml:space="preserve">  </v>
      </c>
      <c r="AA102" s="563" t="str">
        <f>IFERROR(INDEX('V2'!C$300:C$400,MATCH("*"&amp;L102&amp;"*",'V2'!B$300:B$400,0)),"  ")</f>
        <v xml:space="preserve">  </v>
      </c>
      <c r="AB102" s="563" t="str">
        <f>IFERROR(INDEX('V3'!C$300:C$400,MATCH("*"&amp;L102&amp;"*",'V3'!B$300:B$400,0)),"  ")</f>
        <v xml:space="preserve">  </v>
      </c>
      <c r="AC102" s="563" t="str">
        <f>IFERROR(INDEX('V4'!C$300:C$400,MATCH("*"&amp;L102&amp;"*",'V4'!B$300:B$400,0)),"  ")</f>
        <v xml:space="preserve">  </v>
      </c>
      <c r="AD102" s="563" t="str">
        <f>IFERROR(INDEX('V5'!C$300:C$400,MATCH("*"&amp;L102&amp;"*",'V5'!B$300:B$400,0)),"  ")</f>
        <v xml:space="preserve">  </v>
      </c>
      <c r="AE102" s="563" t="str">
        <f>IFERROR(INDEX('V6'!C$300:C$400,MATCH("*"&amp;L102&amp;"*",'V6'!B$300:B$400,0)),"  ")</f>
        <v xml:space="preserve">  </v>
      </c>
      <c r="AF102" s="563" t="str">
        <f>IFERROR(INDEX('V7'!C$300:C$400,MATCH("*"&amp;L102&amp;"*",'V7'!B$300:B$400,0)),"  ")</f>
        <v xml:space="preserve">  </v>
      </c>
      <c r="AG102" s="563" t="str">
        <f>IFERROR(INDEX('V8'!C$300:C$400,MATCH("*"&amp;L102&amp;"*",'V8'!B$300:B$400,0)),"  ")</f>
        <v xml:space="preserve">  </v>
      </c>
      <c r="AH102" s="563" t="str">
        <f>IFERROR(INDEX('V9'!C$300:C$400,MATCH("*"&amp;L102&amp;"*",'V9'!B$300:B$400,0)),"  ")</f>
        <v xml:space="preserve">  </v>
      </c>
      <c r="AI102" s="563" t="str">
        <f>IFERROR(INDEX('V10'!C$300:C$400,MATCH("*"&amp;L102&amp;"*",'V10'!B$300:B$400,0)),"  ")</f>
        <v xml:space="preserve">  </v>
      </c>
      <c r="AJ102" s="564" t="str">
        <f t="shared" si="106"/>
        <v/>
      </c>
      <c r="AK102" s="565">
        <f t="shared" si="107"/>
        <v>0</v>
      </c>
      <c r="AL102" s="566" t="str">
        <f t="shared" si="108"/>
        <v/>
      </c>
      <c r="AM102" s="567" t="str">
        <f>IFERROR(INDEX(#REF!,MATCH("*"&amp;L102&amp;"*",#REF!,0)),"  ")</f>
        <v xml:space="preserve">  </v>
      </c>
      <c r="AN102" s="568">
        <f t="shared" si="109"/>
        <v>0</v>
      </c>
      <c r="AO102" s="469">
        <f t="shared" si="110"/>
        <v>0</v>
      </c>
      <c r="AP102" s="469">
        <f t="shared" si="111"/>
        <v>0</v>
      </c>
      <c r="AQ102" s="569"/>
      <c r="AR102" s="569"/>
      <c r="AS102" s="569"/>
      <c r="AT102" s="570">
        <f t="shared" si="112"/>
        <v>1E-4</v>
      </c>
      <c r="AU102" s="571">
        <f t="shared" si="113"/>
        <v>1E-4</v>
      </c>
      <c r="AV102" s="571">
        <f t="shared" si="114"/>
        <v>2.0000000000000001E-4</v>
      </c>
      <c r="AW102" s="571">
        <f t="shared" si="115"/>
        <v>2.9999999999999997E-4</v>
      </c>
      <c r="AX102" s="571">
        <f t="shared" si="116"/>
        <v>4.0000000000000002E-4</v>
      </c>
      <c r="AY102" s="571">
        <f t="shared" si="117"/>
        <v>5.0000000000000001E-4</v>
      </c>
      <c r="AZ102" s="571">
        <f t="shared" si="118"/>
        <v>5.9999999999999995E-4</v>
      </c>
      <c r="BA102" s="571">
        <f t="shared" si="119"/>
        <v>6.9999999999999999E-4</v>
      </c>
      <c r="BB102" s="571">
        <f t="shared" si="120"/>
        <v>8.0000000000000004E-4</v>
      </c>
      <c r="BC102" s="571">
        <f t="shared" si="121"/>
        <v>8.9999999999999998E-4</v>
      </c>
      <c r="BD102" s="571">
        <f t="shared" si="122"/>
        <v>1E-3</v>
      </c>
      <c r="BE102" s="569"/>
      <c r="BF102" s="569"/>
      <c r="BG102" s="569"/>
      <c r="BH102" s="569"/>
      <c r="BI102" s="377" t="e">
        <f t="shared" si="123"/>
        <v>#VALUE!</v>
      </c>
      <c r="BJ102" s="377" t="e">
        <f t="shared" si="124"/>
        <v>#VALUE!</v>
      </c>
      <c r="BK102" s="377" t="e">
        <f t="shared" si="125"/>
        <v>#VALUE!</v>
      </c>
      <c r="BL102" s="377" t="e">
        <f t="shared" si="126"/>
        <v>#VALUE!</v>
      </c>
      <c r="BM102" s="377" t="e">
        <f t="shared" si="127"/>
        <v>#VALUE!</v>
      </c>
      <c r="BN102" s="377" t="e">
        <f t="shared" si="128"/>
        <v>#VALUE!</v>
      </c>
      <c r="BO102" s="377" t="e">
        <f t="shared" si="129"/>
        <v>#VALUE!</v>
      </c>
      <c r="BP102" s="377" t="e">
        <f t="shared" si="130"/>
        <v>#VALUE!</v>
      </c>
      <c r="BQ102" s="377" t="e">
        <f t="shared" si="131"/>
        <v>#VALUE!</v>
      </c>
      <c r="BR102" s="377" t="e">
        <f t="shared" si="132"/>
        <v>#VALUE!</v>
      </c>
    </row>
    <row r="103" spans="1:70" ht="12.75" hidden="1" customHeight="1" x14ac:dyDescent="0.2">
      <c r="A103" s="484" t="str">
        <f t="shared" ref="A103:A120" si="133">IF(R103&gt;0,IF(Q103="Viru SK",RANK(B103,B$7:B$120,1)-COUNTIF((Q$7:Q$120),"&lt;&gt;Viru SK"),""),"")</f>
        <v/>
      </c>
      <c r="B103" s="485">
        <f t="shared" ref="B103:B120" si="134">IF((Q103="Viru SK"),U103,U103-1000)</f>
        <v>-886</v>
      </c>
      <c r="C103" s="486" t="str">
        <f t="shared" ref="C103:C120" si="135">IF(R103&gt;0,IF(P103="t",RANK(D103,D$7:D$120,1)-COUNTBLANK(P$7:P$120),""),"")</f>
        <v/>
      </c>
      <c r="D103" s="487">
        <f t="shared" ref="D103:D120" si="136">IF((P103="t"),U103,U103-1000)</f>
        <v>-886</v>
      </c>
      <c r="E103" s="488" t="str">
        <f t="shared" ref="E103:E120" si="137">IF(R103&gt;0,IF(N103="m",RANK(F103,F$7:F$120,1)-COUNTBLANK(N$7:N$120),""),"")</f>
        <v/>
      </c>
      <c r="F103" s="489">
        <f t="shared" ref="F103:F120" si="138">IF((N103="m"),U103,U103-1000)</f>
        <v>114</v>
      </c>
      <c r="G103" s="490" t="str">
        <f t="shared" ref="G103:G120" si="139">IF(R103&gt;0,IF(M103="n",RANK(H103,H$7:H$120,1)-COUNTBLANK(M$7:M$120),""),"")</f>
        <v/>
      </c>
      <c r="H103" s="489">
        <f t="shared" ref="H103:H120" si="140">IF((M103="n"),U103,U103-1000)</f>
        <v>-886</v>
      </c>
      <c r="I103" s="491" t="str">
        <f t="shared" ref="I103:I120" si="141">IF(R103&gt;0,IF(O103="j",RANK(J103,J$7:J$120,1)-COUNTBLANK(O$7:O$120),""),"")</f>
        <v/>
      </c>
      <c r="J103" s="554">
        <f t="shared" ref="J103:J120" si="142">IF((O103="j"),U103,U103-1000)</f>
        <v>114</v>
      </c>
      <c r="K103" s="526" t="str">
        <f t="shared" ref="K103:K120" si="143">IF(R103&gt;0,RANK(U103,U$7:U$120,1),"")</f>
        <v/>
      </c>
      <c r="L103" s="555" t="s">
        <v>291</v>
      </c>
      <c r="M103" s="556"/>
      <c r="N103" s="557" t="s">
        <v>168</v>
      </c>
      <c r="O103" s="579" t="s">
        <v>190</v>
      </c>
      <c r="P103" s="559"/>
      <c r="Q103" s="560"/>
      <c r="R103" s="539">
        <f>(IF(COUNT(Z103,AA103,AB103,AC103,AD103,AE103,AF103,AG103,AH103,AI103)&lt;10,SUM(Z103,AA103,AB103,AC103,AD103,AE103,AF103,AG103,AH103,AI103),SUM(LARGE((Z103,AA103,AB103,AC103,AD103,AE103,AF103,AG103,AH103,AI103),{1;2;3;4;5;6;7;8;9}))))</f>
        <v>0</v>
      </c>
      <c r="S103" s="561" t="str">
        <f>INDEX([1]ETAPP!B$1:B$32,MATCH(COUNTIF(BI103:BR103,1),[1]ETAPP!A$1:A$32,0))&amp;INDEX([1]ETAPP!B$1:B$32,MATCH(COUNTIF(BI103:BR103,2),[1]ETAPP!A$1:A$32,0))&amp;INDEX([1]ETAPP!B$1:B$32,MATCH(COUNTIF(BI103:BR103,3),[1]ETAPP!A$1:A$32,0))&amp;INDEX([1]ETAPP!B$1:B$32,MATCH(COUNTIF(BI103:BR103,4),[1]ETAPP!A$1:A$32,0))&amp;INDEX([1]ETAPP!B$1:B$32,MATCH(COUNTIF(BI103:BR103,5),[1]ETAPP!A$1:A$32,0))&amp;INDEX([1]ETAPP!B$1:B$32,MATCH(COUNTIF(BI103:BR103,6),[1]ETAPP!A$1:A$32,0))&amp;INDEX([1]ETAPP!B$1:B$32,MATCH(COUNTIF(BI103:BR103,7),[1]ETAPP!A$1:A$32,0))&amp;INDEX([1]ETAPP!B$1:B$32,MATCH(COUNTIF(BI103:BR103,8),[1]ETAPP!A$1:A$32,0))&amp;INDEX([1]ETAPP!B$1:B$32,MATCH(COUNTIF(BI103:BR103,9),[1]ETAPP!A$1:A$32,0))&amp;INDEX([1]ETAPP!B$1:B$32,MATCH(COUNTIF(BI103:BR103,10),[1]ETAPP!A$1:A$32,0))&amp;INDEX([1]ETAPP!B$1:B$32,MATCH(COUNTIF(BI103:BR103,11),[1]ETAPP!A$1:A$32,0))&amp;INDEX([1]ETAPP!B$1:B$32,MATCH(COUNTIF(BI103:BR103,12),[1]ETAPP!A$1:A$32,0))&amp;INDEX([1]ETAPP!B$1:B$32,MATCH(COUNTIF(BI103:BR103,13),[1]ETAPP!A$1:A$32,0))&amp;INDEX([1]ETAPP!B$1:B$32,MATCH(COUNTIF(BI103:BR103,14),[1]ETAPP!A$1:A$32,0))&amp;INDEX([1]ETAPP!B$1:B$32,MATCH(COUNTIF(BI103:BR103,15),[1]ETAPP!A$1:A$32,0))&amp;INDEX([1]ETAPP!B$1:B$32,MATCH(COUNTIF(BI103:BR103,16),[1]ETAPP!A$1:A$32,0))&amp;INDEX([1]ETAPP!B$1:B$32,MATCH(COUNTIF(BI103:BR103,17),[1]ETAPP!A$1:A$32,0))&amp;INDEX([1]ETAPP!B$1:B$32,MATCH(COUNTIF(BI103:BR103,18),[1]ETAPP!A$1:A$32,0))&amp;INDEX([1]ETAPP!B$1:B$32,MATCH(COUNTIF(BI103:BR103,19),[1]ETAPP!A$1:A$32,0))&amp;INDEX([1]ETAPP!B$1:B$32,MATCH(COUNTIF(BI103:BR103,20),[1]ETAPP!A$1:A$32,0))&amp;INDEX([1]ETAPP!B$1:B$32,MATCH(COUNTIF(BI103:BR103,21),[1]ETAPP!A$1:A$32,0))</f>
        <v>000000000000000000000</v>
      </c>
      <c r="T103" s="561" t="str">
        <f t="shared" ref="T103:T120" si="144">TEXT(R103,"000,0")&amp;"-"&amp;S103</f>
        <v>000,0-000000000000000000000</v>
      </c>
      <c r="U103" s="561">
        <f t="shared" ref="U103:U120" si="145">COUNTIF(T$7:T$120,"&gt;="&amp;T103)</f>
        <v>114</v>
      </c>
      <c r="V103" s="561">
        <f t="shared" ref="V103:V120" si="146">COUNTIF(L$7:L$120,"&gt;="&amp;L103)</f>
        <v>32</v>
      </c>
      <c r="W103" s="561" t="str">
        <f t="shared" ref="W103:W120" si="147">TEXT(R103,"000,0")&amp;"-"&amp;S103&amp;"-"&amp;TEXT(V103,"000")</f>
        <v>000,0-000000000000000000000-032</v>
      </c>
      <c r="X103" s="561">
        <f t="shared" ref="X103:X120" si="148">COUNTIF(W$7:W$120,"&gt;="&amp;W103)</f>
        <v>97</v>
      </c>
      <c r="Y103" s="562">
        <f t="shared" ref="Y103:Y120" si="149">RANK(X103,X$7:X$120,0)</f>
        <v>18</v>
      </c>
      <c r="Z103" s="563" t="str">
        <f>IFERROR(INDEX('V1'!C$300:C$400,MATCH("*"&amp;L103&amp;"*",'V1'!B$300:B$400,0)),"  ")</f>
        <v xml:space="preserve">  </v>
      </c>
      <c r="AA103" s="563" t="str">
        <f>IFERROR(INDEX('V2'!C$300:C$400,MATCH("*"&amp;L103&amp;"*",'V2'!B$300:B$400,0)),"  ")</f>
        <v xml:space="preserve">  </v>
      </c>
      <c r="AB103" s="563" t="str">
        <f>IFERROR(INDEX('V3'!C$300:C$400,MATCH("*"&amp;L103&amp;"*",'V3'!B$300:B$400,0)),"  ")</f>
        <v xml:space="preserve">  </v>
      </c>
      <c r="AC103" s="563" t="str">
        <f>IFERROR(INDEX('V4'!C$300:C$400,MATCH("*"&amp;L103&amp;"*",'V4'!B$300:B$400,0)),"  ")</f>
        <v xml:space="preserve">  </v>
      </c>
      <c r="AD103" s="563" t="str">
        <f>IFERROR(INDEX('V5'!C$300:C$400,MATCH("*"&amp;L103&amp;"*",'V5'!B$300:B$400,0)),"  ")</f>
        <v xml:space="preserve">  </v>
      </c>
      <c r="AE103" s="563" t="str">
        <f>IFERROR(INDEX('V6'!C$300:C$400,MATCH("*"&amp;L103&amp;"*",'V6'!B$300:B$400,0)),"  ")</f>
        <v xml:space="preserve">  </v>
      </c>
      <c r="AF103" s="563" t="str">
        <f>IFERROR(INDEX('V7'!C$300:C$400,MATCH("*"&amp;L103&amp;"*",'V7'!B$300:B$400,0)),"  ")</f>
        <v xml:space="preserve">  </v>
      </c>
      <c r="AG103" s="563" t="str">
        <f>IFERROR(INDEX('V8'!C$300:C$400,MATCH("*"&amp;L103&amp;"*",'V8'!B$300:B$400,0)),"  ")</f>
        <v xml:space="preserve">  </v>
      </c>
      <c r="AH103" s="563" t="str">
        <f>IFERROR(INDEX('V9'!C$300:C$400,MATCH("*"&amp;L103&amp;"*",'V9'!B$300:B$400,0)),"  ")</f>
        <v xml:space="preserve">  </v>
      </c>
      <c r="AI103" s="563" t="str">
        <f>IFERROR(INDEX('V10'!C$300:C$400,MATCH("*"&amp;L103&amp;"*",'V10'!B$300:B$400,0)),"  ")</f>
        <v xml:space="preserve">  </v>
      </c>
      <c r="AJ103" s="564" t="str">
        <f t="shared" ref="AJ103:AJ120" si="150">IF(AN103&gt;(AT$2-1),K103,"")</f>
        <v/>
      </c>
      <c r="AK103" s="565">
        <f t="shared" ref="AK103:AK120" si="151">SUM(Z103:AI103)</f>
        <v>0</v>
      </c>
      <c r="AL103" s="566" t="str">
        <f t="shared" ref="AL103:AL120" si="152">IFERROR("edasi "&amp;RANK(AJ103,AJ$7:AJ$120,1),K103)</f>
        <v/>
      </c>
      <c r="AM103" s="567" t="str">
        <f>IFERROR(INDEX(#REF!,MATCH("*"&amp;L103&amp;"*",#REF!,0)),"  ")</f>
        <v xml:space="preserve">  </v>
      </c>
      <c r="AN103" s="568">
        <f t="shared" ref="AN103:AN120" si="153">COUNTIF(Z103:AI103,"&gt;=0")</f>
        <v>0</v>
      </c>
      <c r="AO103" s="469">
        <f t="shared" ref="AO103:AO120" si="154">IFERROR(IF(Z103+1&gt;LARGE(Z$7:Z$120,1)-2*LEN(Z$5),1),0)+IFERROR(IF(AA103+1&gt;LARGE(AA$7:AA$120,1)-2*LEN(AA$5),1),0)+IFERROR(IF(AB103+1&gt;LARGE(AB$7:AB$120,1)-2*LEN(AB$5),1),0)+IFERROR(IF(AC103+1&gt;LARGE(AC$7:AC$120,1)-2*LEN(AC$5),1),0)+IFERROR(IF(AD103+1&gt;LARGE(AD$7:AD$120,1)-2*LEN(AD$5),1),0)+IFERROR(IF(AE103+1&gt;LARGE(AE$7:AE$120,1)-2*LEN(AE$5),1),0)+IFERROR(IF(AF103+1&gt;LARGE(AF$7:AF$120,1)-2*LEN(AF$5),1),0)+IFERROR(IF(AG103+1&gt;LARGE(AG$7:AG$120,1)-2*LEN(AG$5),1),0)+IFERROR(IF(AH103+1&gt;LARGE(AH$7:AH$120,1)-2*LEN(AH$5),1),0)+IFERROR(IF(AI103+1&gt;LARGE(AI$7:AI$120,1)-2*LEN(AI$5),1),0)</f>
        <v>0</v>
      </c>
      <c r="AP103" s="469">
        <f t="shared" ref="AP103:AP120" si="155">IF(Z103=0,0,IF(Z103=IFERROR(LARGE(Z$7:Z$120,1),0),1,0))+IF(AA103=0,0,IF(AA103=IFERROR(LARGE(AA$7:AA$120,1),0),1,0))+IF(AB103=0,0,IF(AB103=IFERROR(LARGE(AB$7:AB$120,1),0),1,0))+IF(AC103=0,0,IF(AC103=IFERROR(LARGE(AC$7:AC$120,1),0),1,0))+IF(AD103=0,0,IF(AD103=IFERROR(LARGE(AD$7:AD$120,1),0),1,0))+IF(AE103=0,0,IF(AE103=IFERROR(LARGE(AE$7:AE$120,1),0),1,0))+IF(AF103=0,0,IF(AF103=IFERROR(LARGE(AF$7:AF$120,1),0),1,0))+IF(AG103=0,0,IF(AG103=IFERROR(LARGE(AG$7:AG$120,1),0),1,0))+IF(AH103=0,0,IF(AH103=IFERROR(LARGE(AH$7:AH$120,1),0),1,0))+IF(AI103=0,0,IF(AI103=IFERROR(LARGE(AI$7:AI$120,1),0),1,0))</f>
        <v>0</v>
      </c>
      <c r="AQ103" s="569"/>
      <c r="AR103" s="569"/>
      <c r="AS103" s="569"/>
      <c r="AT103" s="570">
        <f t="shared" ref="AT103:AT120" si="156">SMALL(AU103:BD103,AT$3)</f>
        <v>1E-4</v>
      </c>
      <c r="AU103" s="571">
        <f t="shared" ref="AU103:AU120" si="157">IF(Z103="  ",0+MID(Z$6,FIND("V",Z$6)+1,256)/10000,Z103+MID(Z$6,FIND("V",Z$6)+1,256)/10000)</f>
        <v>1E-4</v>
      </c>
      <c r="AV103" s="571">
        <f t="shared" ref="AV103:AV120" si="158">IF(AA103="  ",0+MID(AA$6,FIND("V",AA$6)+1,256)/10000,AA103+MID(AA$6,FIND("V",AA$6)+1,256)/10000)</f>
        <v>2.0000000000000001E-4</v>
      </c>
      <c r="AW103" s="571">
        <f t="shared" ref="AW103:AW120" si="159">IF(AB103="  ",0+MID(AB$6,FIND("V",AB$6)+1,256)/10000,AB103+MID(AB$6,FIND("V",AB$6)+1,256)/10000)</f>
        <v>2.9999999999999997E-4</v>
      </c>
      <c r="AX103" s="571">
        <f t="shared" ref="AX103:AX120" si="160">IF(AC103="  ",0+MID(AC$6,FIND("V",AC$6)+1,256)/10000,AC103+MID(AC$6,FIND("V",AC$6)+1,256)/10000)</f>
        <v>4.0000000000000002E-4</v>
      </c>
      <c r="AY103" s="571">
        <f t="shared" ref="AY103:AY120" si="161">IF(AD103="  ",0+MID(AD$6,FIND("V",AD$6)+1,256)/10000,AD103+MID(AD$6,FIND("V",AD$6)+1,256)/10000)</f>
        <v>5.0000000000000001E-4</v>
      </c>
      <c r="AZ103" s="571">
        <f t="shared" ref="AZ103:AZ120" si="162">IF(AE103="  ",0+MID(AE$6,FIND("V",AE$6)+1,256)/10000,AE103+MID(AE$6,FIND("V",AE$6)+1,256)/10000)</f>
        <v>5.9999999999999995E-4</v>
      </c>
      <c r="BA103" s="571">
        <f t="shared" ref="BA103:BA120" si="163">IF(AF103="  ",0+MID(AF$6,FIND("V",AF$6)+1,256)/10000,AF103+MID(AF$6,FIND("V",AF$6)+1,256)/10000)</f>
        <v>6.9999999999999999E-4</v>
      </c>
      <c r="BB103" s="571">
        <f t="shared" ref="BB103:BB120" si="164">IF(AG103="  ",0+MID(AG$6,FIND("V",AG$6)+1,256)/10000,AG103+MID(AG$6,FIND("V",AG$6)+1,256)/10000)</f>
        <v>8.0000000000000004E-4</v>
      </c>
      <c r="BC103" s="571">
        <f t="shared" ref="BC103:BC120" si="165">IF(AH103="  ",0+MID(AH$6,FIND("V",AH$6)+1,256)/10000,AH103+MID(AH$6,FIND("V",AH$6)+1,256)/10000)</f>
        <v>8.9999999999999998E-4</v>
      </c>
      <c r="BD103" s="571">
        <f t="shared" ref="BD103:BD120" si="166">IF(AI103="  ",0+MID(AI$6,FIND("V",AI$6)+1,256)/10000,AI103+MID(AI$6,FIND("V",AI$6)+1,256)/10000)</f>
        <v>1E-3</v>
      </c>
      <c r="BE103" s="569"/>
      <c r="BF103" s="569"/>
      <c r="BG103" s="569"/>
      <c r="BH103" s="569"/>
      <c r="BI103" s="377" t="e">
        <f t="shared" ref="BI103:BI120" si="167">(LARGE(Z$7:Z$120,1)-Z103)/2+1</f>
        <v>#VALUE!</v>
      </c>
      <c r="BJ103" s="377" t="e">
        <f t="shared" ref="BJ103:BJ120" si="168">(LARGE(AA$7:AA$120,1)-AA103)/2+1</f>
        <v>#VALUE!</v>
      </c>
      <c r="BK103" s="377" t="e">
        <f t="shared" ref="BK103:BK120" si="169">(LARGE(AB$7:AB$120,1)-AB103)/2+1</f>
        <v>#VALUE!</v>
      </c>
      <c r="BL103" s="377" t="e">
        <f t="shared" ref="BL103:BL120" si="170">(LARGE(AC$7:AC$120,1)-AC103)/2+1</f>
        <v>#VALUE!</v>
      </c>
      <c r="BM103" s="377" t="e">
        <f t="shared" ref="BM103:BM120" si="171">(LARGE(AD$7:AD$120,1)-AD103)/2+1</f>
        <v>#VALUE!</v>
      </c>
      <c r="BN103" s="377" t="e">
        <f t="shared" ref="BN103:BN120" si="172">(LARGE(AE$7:AE$120,1)-AE103)/2+1</f>
        <v>#VALUE!</v>
      </c>
      <c r="BO103" s="377" t="e">
        <f t="shared" ref="BO103:BO120" si="173">(LARGE(AF$7:AF$120,1)-AF103)/2+1</f>
        <v>#VALUE!</v>
      </c>
      <c r="BP103" s="377" t="e">
        <f t="shared" ref="BP103:BP120" si="174">(LARGE(AG$7:AG$120,1)-AG103)/2+1</f>
        <v>#VALUE!</v>
      </c>
      <c r="BQ103" s="377" t="e">
        <f t="shared" ref="BQ103:BQ120" si="175">(LARGE(AH$7:AH$120,1)-AH103)/2+1</f>
        <v>#VALUE!</v>
      </c>
      <c r="BR103" s="377" t="e">
        <f t="shared" ref="BR103:BR120" si="176">(LARGE(AI$7:AI$120,1)-AI103)/2+1</f>
        <v>#VALUE!</v>
      </c>
    </row>
    <row r="104" spans="1:70" ht="12.75" hidden="1" customHeight="1" x14ac:dyDescent="0.2">
      <c r="A104" s="484" t="str">
        <f t="shared" si="133"/>
        <v/>
      </c>
      <c r="B104" s="485">
        <f t="shared" si="134"/>
        <v>-886</v>
      </c>
      <c r="C104" s="486" t="str">
        <f t="shared" si="135"/>
        <v/>
      </c>
      <c r="D104" s="487">
        <f t="shared" si="136"/>
        <v>-886</v>
      </c>
      <c r="E104" s="488" t="str">
        <f t="shared" si="137"/>
        <v/>
      </c>
      <c r="F104" s="489">
        <f t="shared" si="138"/>
        <v>114</v>
      </c>
      <c r="G104" s="490" t="str">
        <f t="shared" si="139"/>
        <v/>
      </c>
      <c r="H104" s="489">
        <f t="shared" si="140"/>
        <v>-886</v>
      </c>
      <c r="I104" s="491" t="str">
        <f t="shared" si="141"/>
        <v/>
      </c>
      <c r="J104" s="554">
        <f t="shared" si="142"/>
        <v>-886</v>
      </c>
      <c r="K104" s="526" t="str">
        <f t="shared" si="143"/>
        <v/>
      </c>
      <c r="L104" s="555" t="s">
        <v>242</v>
      </c>
      <c r="M104" s="556"/>
      <c r="N104" s="557" t="s">
        <v>168</v>
      </c>
      <c r="O104" s="579"/>
      <c r="P104" s="559"/>
      <c r="Q104" s="560" t="s">
        <v>270</v>
      </c>
      <c r="R104" s="539">
        <f>(IF(COUNT(Z104,AA104,AB104,AC104,AD104,AE104,AF104,AG104,AH104,AI104)&lt;10,SUM(Z104,AA104,AB104,AC104,AD104,AE104,AF104,AG104,AH104,AI104),SUM(LARGE((Z104,AA104,AB104,AC104,AD104,AE104,AF104,AG104,AH104,AI104),{1;2;3;4;5;6;7;8;9}))))</f>
        <v>0</v>
      </c>
      <c r="S104" s="561" t="str">
        <f>INDEX([1]ETAPP!B$1:B$32,MATCH(COUNTIF(BI104:BR104,1),[1]ETAPP!A$1:A$32,0))&amp;INDEX([1]ETAPP!B$1:B$32,MATCH(COUNTIF(BI104:BR104,2),[1]ETAPP!A$1:A$32,0))&amp;INDEX([1]ETAPP!B$1:B$32,MATCH(COUNTIF(BI104:BR104,3),[1]ETAPP!A$1:A$32,0))&amp;INDEX([1]ETAPP!B$1:B$32,MATCH(COUNTIF(BI104:BR104,4),[1]ETAPP!A$1:A$32,0))&amp;INDEX([1]ETAPP!B$1:B$32,MATCH(COUNTIF(BI104:BR104,5),[1]ETAPP!A$1:A$32,0))&amp;INDEX([1]ETAPP!B$1:B$32,MATCH(COUNTIF(BI104:BR104,6),[1]ETAPP!A$1:A$32,0))&amp;INDEX([1]ETAPP!B$1:B$32,MATCH(COUNTIF(BI104:BR104,7),[1]ETAPP!A$1:A$32,0))&amp;INDEX([1]ETAPP!B$1:B$32,MATCH(COUNTIF(BI104:BR104,8),[1]ETAPP!A$1:A$32,0))&amp;INDEX([1]ETAPP!B$1:B$32,MATCH(COUNTIF(BI104:BR104,9),[1]ETAPP!A$1:A$32,0))&amp;INDEX([1]ETAPP!B$1:B$32,MATCH(COUNTIF(BI104:BR104,10),[1]ETAPP!A$1:A$32,0))&amp;INDEX([1]ETAPP!B$1:B$32,MATCH(COUNTIF(BI104:BR104,11),[1]ETAPP!A$1:A$32,0))&amp;INDEX([1]ETAPP!B$1:B$32,MATCH(COUNTIF(BI104:BR104,12),[1]ETAPP!A$1:A$32,0))&amp;INDEX([1]ETAPP!B$1:B$32,MATCH(COUNTIF(BI104:BR104,13),[1]ETAPP!A$1:A$32,0))&amp;INDEX([1]ETAPP!B$1:B$32,MATCH(COUNTIF(BI104:BR104,14),[1]ETAPP!A$1:A$32,0))&amp;INDEX([1]ETAPP!B$1:B$32,MATCH(COUNTIF(BI104:BR104,15),[1]ETAPP!A$1:A$32,0))&amp;INDEX([1]ETAPP!B$1:B$32,MATCH(COUNTIF(BI104:BR104,16),[1]ETAPP!A$1:A$32,0))&amp;INDEX([1]ETAPP!B$1:B$32,MATCH(COUNTIF(BI104:BR104,17),[1]ETAPP!A$1:A$32,0))&amp;INDEX([1]ETAPP!B$1:B$32,MATCH(COUNTIF(BI104:BR104,18),[1]ETAPP!A$1:A$32,0))&amp;INDEX([1]ETAPP!B$1:B$32,MATCH(COUNTIF(BI104:BR104,19),[1]ETAPP!A$1:A$32,0))&amp;INDEX([1]ETAPP!B$1:B$32,MATCH(COUNTIF(BI104:BR104,20),[1]ETAPP!A$1:A$32,0))&amp;INDEX([1]ETAPP!B$1:B$32,MATCH(COUNTIF(BI104:BR104,21),[1]ETAPP!A$1:A$32,0))</f>
        <v>000000000000000000000</v>
      </c>
      <c r="T104" s="561" t="str">
        <f t="shared" si="144"/>
        <v>000,0-000000000000000000000</v>
      </c>
      <c r="U104" s="561">
        <f t="shared" si="145"/>
        <v>114</v>
      </c>
      <c r="V104" s="561">
        <f t="shared" si="146"/>
        <v>31</v>
      </c>
      <c r="W104" s="561" t="str">
        <f t="shared" si="147"/>
        <v>000,0-000000000000000000000-031</v>
      </c>
      <c r="X104" s="561">
        <f t="shared" si="148"/>
        <v>98</v>
      </c>
      <c r="Y104" s="562">
        <f t="shared" si="149"/>
        <v>17</v>
      </c>
      <c r="Z104" s="563" t="str">
        <f>IFERROR(INDEX('V1'!C$300:C$400,MATCH("*"&amp;L104&amp;"*",'V1'!B$300:B$400,0)),"  ")</f>
        <v xml:space="preserve">  </v>
      </c>
      <c r="AA104" s="563" t="str">
        <f>IFERROR(INDEX('V2'!C$300:C$400,MATCH("*"&amp;L104&amp;"*",'V2'!B$300:B$400,0)),"  ")</f>
        <v xml:space="preserve">  </v>
      </c>
      <c r="AB104" s="563" t="str">
        <f>IFERROR(INDEX('V3'!C$300:C$400,MATCH("*"&amp;L104&amp;"*",'V3'!B$300:B$400,0)),"  ")</f>
        <v xml:space="preserve">  </v>
      </c>
      <c r="AC104" s="563" t="str">
        <f>IFERROR(INDEX('V4'!C$300:C$400,MATCH("*"&amp;L104&amp;"*",'V4'!B$300:B$400,0)),"  ")</f>
        <v xml:space="preserve">  </v>
      </c>
      <c r="AD104" s="563" t="str">
        <f>IFERROR(INDEX('V5'!C$300:C$400,MATCH("*"&amp;L104&amp;"*",'V5'!B$300:B$400,0)),"  ")</f>
        <v xml:space="preserve">  </v>
      </c>
      <c r="AE104" s="563" t="str">
        <f>IFERROR(INDEX('V6'!C$300:C$400,MATCH("*"&amp;L104&amp;"*",'V6'!B$300:B$400,0)),"  ")</f>
        <v xml:space="preserve">  </v>
      </c>
      <c r="AF104" s="563" t="str">
        <f>IFERROR(INDEX('V7'!C$300:C$400,MATCH("*"&amp;L104&amp;"*",'V7'!B$300:B$400,0)),"  ")</f>
        <v xml:space="preserve">  </v>
      </c>
      <c r="AG104" s="563" t="str">
        <f>IFERROR(INDEX('V8'!C$300:C$400,MATCH("*"&amp;L104&amp;"*",'V8'!B$300:B$400,0)),"  ")</f>
        <v xml:space="preserve">  </v>
      </c>
      <c r="AH104" s="563" t="str">
        <f>IFERROR(INDEX('V9'!C$300:C$400,MATCH("*"&amp;L104&amp;"*",'V9'!B$300:B$400,0)),"  ")</f>
        <v xml:space="preserve">  </v>
      </c>
      <c r="AI104" s="563" t="str">
        <f>IFERROR(INDEX('V10'!C$300:C$400,MATCH("*"&amp;L104&amp;"*",'V10'!B$300:B$400,0)),"  ")</f>
        <v xml:space="preserve">  </v>
      </c>
      <c r="AJ104" s="564" t="str">
        <f t="shared" si="150"/>
        <v/>
      </c>
      <c r="AK104" s="565">
        <f t="shared" si="151"/>
        <v>0</v>
      </c>
      <c r="AL104" s="566" t="str">
        <f t="shared" si="152"/>
        <v/>
      </c>
      <c r="AM104" s="567" t="str">
        <f>IFERROR(INDEX(#REF!,MATCH("*"&amp;L104&amp;"*",#REF!,0)),"  ")</f>
        <v xml:space="preserve">  </v>
      </c>
      <c r="AN104" s="568">
        <f t="shared" si="153"/>
        <v>0</v>
      </c>
      <c r="AO104" s="469">
        <f t="shared" si="154"/>
        <v>0</v>
      </c>
      <c r="AP104" s="469">
        <f t="shared" si="155"/>
        <v>0</v>
      </c>
      <c r="AQ104" s="569"/>
      <c r="AR104" s="569"/>
      <c r="AS104" s="569"/>
      <c r="AT104" s="570">
        <f t="shared" si="156"/>
        <v>1E-4</v>
      </c>
      <c r="AU104" s="571">
        <f t="shared" si="157"/>
        <v>1E-4</v>
      </c>
      <c r="AV104" s="571">
        <f t="shared" si="158"/>
        <v>2.0000000000000001E-4</v>
      </c>
      <c r="AW104" s="571">
        <f t="shared" si="159"/>
        <v>2.9999999999999997E-4</v>
      </c>
      <c r="AX104" s="571">
        <f t="shared" si="160"/>
        <v>4.0000000000000002E-4</v>
      </c>
      <c r="AY104" s="571">
        <f t="shared" si="161"/>
        <v>5.0000000000000001E-4</v>
      </c>
      <c r="AZ104" s="571">
        <f t="shared" si="162"/>
        <v>5.9999999999999995E-4</v>
      </c>
      <c r="BA104" s="571">
        <f t="shared" si="163"/>
        <v>6.9999999999999999E-4</v>
      </c>
      <c r="BB104" s="571">
        <f t="shared" si="164"/>
        <v>8.0000000000000004E-4</v>
      </c>
      <c r="BC104" s="571">
        <f t="shared" si="165"/>
        <v>8.9999999999999998E-4</v>
      </c>
      <c r="BD104" s="571">
        <f t="shared" si="166"/>
        <v>1E-3</v>
      </c>
      <c r="BE104" s="569"/>
      <c r="BF104" s="569"/>
      <c r="BG104" s="569"/>
      <c r="BH104" s="569"/>
      <c r="BI104" s="377" t="e">
        <f t="shared" si="167"/>
        <v>#VALUE!</v>
      </c>
      <c r="BJ104" s="377" t="e">
        <f t="shared" si="168"/>
        <v>#VALUE!</v>
      </c>
      <c r="BK104" s="377" t="e">
        <f t="shared" si="169"/>
        <v>#VALUE!</v>
      </c>
      <c r="BL104" s="377" t="e">
        <f t="shared" si="170"/>
        <v>#VALUE!</v>
      </c>
      <c r="BM104" s="377" t="e">
        <f t="shared" si="171"/>
        <v>#VALUE!</v>
      </c>
      <c r="BN104" s="377" t="e">
        <f t="shared" si="172"/>
        <v>#VALUE!</v>
      </c>
      <c r="BO104" s="377" t="e">
        <f t="shared" si="173"/>
        <v>#VALUE!</v>
      </c>
      <c r="BP104" s="377" t="e">
        <f t="shared" si="174"/>
        <v>#VALUE!</v>
      </c>
      <c r="BQ104" s="377" t="e">
        <f t="shared" si="175"/>
        <v>#VALUE!</v>
      </c>
      <c r="BR104" s="377" t="e">
        <f t="shared" si="176"/>
        <v>#VALUE!</v>
      </c>
    </row>
    <row r="105" spans="1:70" ht="12.75" hidden="1" customHeight="1" x14ac:dyDescent="0.2">
      <c r="A105" s="484" t="str">
        <f t="shared" si="133"/>
        <v/>
      </c>
      <c r="B105" s="485">
        <f t="shared" si="134"/>
        <v>114</v>
      </c>
      <c r="C105" s="486" t="str">
        <f t="shared" si="135"/>
        <v/>
      </c>
      <c r="D105" s="487">
        <f t="shared" si="136"/>
        <v>114</v>
      </c>
      <c r="E105" s="488" t="str">
        <f t="shared" si="137"/>
        <v/>
      </c>
      <c r="F105" s="489">
        <f t="shared" si="138"/>
        <v>114</v>
      </c>
      <c r="G105" s="490" t="str">
        <f t="shared" si="139"/>
        <v/>
      </c>
      <c r="H105" s="489">
        <f t="shared" si="140"/>
        <v>-886</v>
      </c>
      <c r="I105" s="491" t="str">
        <f t="shared" si="141"/>
        <v/>
      </c>
      <c r="J105" s="554">
        <f t="shared" si="142"/>
        <v>114</v>
      </c>
      <c r="K105" s="526" t="str">
        <f t="shared" si="143"/>
        <v/>
      </c>
      <c r="L105" s="555" t="s">
        <v>198</v>
      </c>
      <c r="M105" s="556"/>
      <c r="N105" s="557" t="s">
        <v>168</v>
      </c>
      <c r="O105" s="579" t="s">
        <v>190</v>
      </c>
      <c r="P105" s="559" t="s">
        <v>269</v>
      </c>
      <c r="Q105" s="560" t="s">
        <v>148</v>
      </c>
      <c r="R105" s="539">
        <f>(IF(COUNT(Z105,AA105,AB105,AC105,AD105,AE105,AF105,AG105,AH105,AI105)&lt;10,SUM(Z105,AA105,AB105,AC105,AD105,AE105,AF105,AG105,AH105,AI105),SUM(LARGE((Z105,AA105,AB105,AC105,AD105,AE105,AF105,AG105,AH105,AI105),{1;2;3;4;5;6;7;8;9}))))</f>
        <v>0</v>
      </c>
      <c r="S105" s="561" t="str">
        <f>INDEX([1]ETAPP!B$1:B$32,MATCH(COUNTIF(BI105:BR105,1),[1]ETAPP!A$1:A$32,0))&amp;INDEX([1]ETAPP!B$1:B$32,MATCH(COUNTIF(BI105:BR105,2),[1]ETAPP!A$1:A$32,0))&amp;INDEX([1]ETAPP!B$1:B$32,MATCH(COUNTIF(BI105:BR105,3),[1]ETAPP!A$1:A$32,0))&amp;INDEX([1]ETAPP!B$1:B$32,MATCH(COUNTIF(BI105:BR105,4),[1]ETAPP!A$1:A$32,0))&amp;INDEX([1]ETAPP!B$1:B$32,MATCH(COUNTIF(BI105:BR105,5),[1]ETAPP!A$1:A$32,0))&amp;INDEX([1]ETAPP!B$1:B$32,MATCH(COUNTIF(BI105:BR105,6),[1]ETAPP!A$1:A$32,0))&amp;INDEX([1]ETAPP!B$1:B$32,MATCH(COUNTIF(BI105:BR105,7),[1]ETAPP!A$1:A$32,0))&amp;INDEX([1]ETAPP!B$1:B$32,MATCH(COUNTIF(BI105:BR105,8),[1]ETAPP!A$1:A$32,0))&amp;INDEX([1]ETAPP!B$1:B$32,MATCH(COUNTIF(BI105:BR105,9),[1]ETAPP!A$1:A$32,0))&amp;INDEX([1]ETAPP!B$1:B$32,MATCH(COUNTIF(BI105:BR105,10),[1]ETAPP!A$1:A$32,0))&amp;INDEX([1]ETAPP!B$1:B$32,MATCH(COUNTIF(BI105:BR105,11),[1]ETAPP!A$1:A$32,0))&amp;INDEX([1]ETAPP!B$1:B$32,MATCH(COUNTIF(BI105:BR105,12),[1]ETAPP!A$1:A$32,0))&amp;INDEX([1]ETAPP!B$1:B$32,MATCH(COUNTIF(BI105:BR105,13),[1]ETAPP!A$1:A$32,0))&amp;INDEX([1]ETAPP!B$1:B$32,MATCH(COUNTIF(BI105:BR105,14),[1]ETAPP!A$1:A$32,0))&amp;INDEX([1]ETAPP!B$1:B$32,MATCH(COUNTIF(BI105:BR105,15),[1]ETAPP!A$1:A$32,0))&amp;INDEX([1]ETAPP!B$1:B$32,MATCH(COUNTIF(BI105:BR105,16),[1]ETAPP!A$1:A$32,0))&amp;INDEX([1]ETAPP!B$1:B$32,MATCH(COUNTIF(BI105:BR105,17),[1]ETAPP!A$1:A$32,0))&amp;INDEX([1]ETAPP!B$1:B$32,MATCH(COUNTIF(BI105:BR105,18),[1]ETAPP!A$1:A$32,0))&amp;INDEX([1]ETAPP!B$1:B$32,MATCH(COUNTIF(BI105:BR105,19),[1]ETAPP!A$1:A$32,0))&amp;INDEX([1]ETAPP!B$1:B$32,MATCH(COUNTIF(BI105:BR105,20),[1]ETAPP!A$1:A$32,0))&amp;INDEX([1]ETAPP!B$1:B$32,MATCH(COUNTIF(BI105:BR105,21),[1]ETAPP!A$1:A$32,0))</f>
        <v>000000000000000000000</v>
      </c>
      <c r="T105" s="561" t="str">
        <f t="shared" si="144"/>
        <v>000,0-000000000000000000000</v>
      </c>
      <c r="U105" s="561">
        <f t="shared" si="145"/>
        <v>114</v>
      </c>
      <c r="V105" s="561">
        <f t="shared" si="146"/>
        <v>30</v>
      </c>
      <c r="W105" s="561" t="str">
        <f t="shared" si="147"/>
        <v>000,0-000000000000000000000-030</v>
      </c>
      <c r="X105" s="561">
        <f t="shared" si="148"/>
        <v>99</v>
      </c>
      <c r="Y105" s="562">
        <f t="shared" si="149"/>
        <v>16</v>
      </c>
      <c r="Z105" s="563" t="str">
        <f>IFERROR(INDEX('V1'!C$300:C$400,MATCH("*"&amp;L105&amp;"*",'V1'!B$300:B$400,0)),"  ")</f>
        <v xml:space="preserve">  </v>
      </c>
      <c r="AA105" s="563" t="str">
        <f>IFERROR(INDEX('V2'!C$300:C$400,MATCH("*"&amp;L105&amp;"*",'V2'!B$300:B$400,0)),"  ")</f>
        <v xml:space="preserve">  </v>
      </c>
      <c r="AB105" s="563" t="str">
        <f>IFERROR(INDEX('V3'!C$300:C$400,MATCH("*"&amp;L105&amp;"*",'V3'!B$300:B$400,0)),"  ")</f>
        <v xml:space="preserve">  </v>
      </c>
      <c r="AC105" s="563" t="str">
        <f>IFERROR(INDEX('V4'!C$300:C$400,MATCH("*"&amp;L105&amp;"*",'V4'!B$300:B$400,0)),"  ")</f>
        <v xml:space="preserve">  </v>
      </c>
      <c r="AD105" s="563" t="str">
        <f>IFERROR(INDEX('V5'!C$300:C$400,MATCH("*"&amp;L105&amp;"*",'V5'!B$300:B$400,0)),"  ")</f>
        <v xml:space="preserve">  </v>
      </c>
      <c r="AE105" s="563" t="str">
        <f>IFERROR(INDEX('V6'!C$300:C$400,MATCH("*"&amp;L105&amp;"*",'V6'!B$300:B$400,0)),"  ")</f>
        <v xml:space="preserve">  </v>
      </c>
      <c r="AF105" s="563" t="str">
        <f>IFERROR(INDEX('V7'!C$300:C$400,MATCH("*"&amp;L105&amp;"*",'V7'!B$300:B$400,0)),"  ")</f>
        <v xml:space="preserve">  </v>
      </c>
      <c r="AG105" s="563" t="str">
        <f>IFERROR(INDEX('V8'!C$300:C$400,MATCH("*"&amp;L105&amp;"*",'V8'!B$300:B$400,0)),"  ")</f>
        <v xml:space="preserve">  </v>
      </c>
      <c r="AH105" s="563" t="str">
        <f>IFERROR(INDEX('V9'!C$300:C$400,MATCH("*"&amp;L105&amp;"*",'V9'!B$300:B$400,0)),"  ")</f>
        <v xml:space="preserve">  </v>
      </c>
      <c r="AI105" s="563" t="str">
        <f>IFERROR(INDEX('V10'!C$300:C$400,MATCH("*"&amp;L105&amp;"*",'V10'!B$300:B$400,0)),"  ")</f>
        <v xml:space="preserve">  </v>
      </c>
      <c r="AJ105" s="564" t="str">
        <f t="shared" si="150"/>
        <v/>
      </c>
      <c r="AK105" s="565">
        <f t="shared" si="151"/>
        <v>0</v>
      </c>
      <c r="AL105" s="566" t="str">
        <f t="shared" si="152"/>
        <v/>
      </c>
      <c r="AM105" s="567" t="str">
        <f>IFERROR(INDEX(#REF!,MATCH("*"&amp;L105&amp;"*",#REF!,0)),"  ")</f>
        <v xml:space="preserve">  </v>
      </c>
      <c r="AN105" s="568">
        <f t="shared" si="153"/>
        <v>0</v>
      </c>
      <c r="AO105" s="469">
        <f t="shared" si="154"/>
        <v>0</v>
      </c>
      <c r="AP105" s="469">
        <f t="shared" si="155"/>
        <v>0</v>
      </c>
      <c r="AQ105" s="569"/>
      <c r="AR105" s="569"/>
      <c r="AS105" s="569"/>
      <c r="AT105" s="570">
        <f t="shared" si="156"/>
        <v>1E-4</v>
      </c>
      <c r="AU105" s="571">
        <f t="shared" si="157"/>
        <v>1E-4</v>
      </c>
      <c r="AV105" s="571">
        <f t="shared" si="158"/>
        <v>2.0000000000000001E-4</v>
      </c>
      <c r="AW105" s="571">
        <f t="shared" si="159"/>
        <v>2.9999999999999997E-4</v>
      </c>
      <c r="AX105" s="571">
        <f t="shared" si="160"/>
        <v>4.0000000000000002E-4</v>
      </c>
      <c r="AY105" s="571">
        <f t="shared" si="161"/>
        <v>5.0000000000000001E-4</v>
      </c>
      <c r="AZ105" s="571">
        <f t="shared" si="162"/>
        <v>5.9999999999999995E-4</v>
      </c>
      <c r="BA105" s="571">
        <f t="shared" si="163"/>
        <v>6.9999999999999999E-4</v>
      </c>
      <c r="BB105" s="571">
        <f t="shared" si="164"/>
        <v>8.0000000000000004E-4</v>
      </c>
      <c r="BC105" s="571">
        <f t="shared" si="165"/>
        <v>8.9999999999999998E-4</v>
      </c>
      <c r="BD105" s="571">
        <f t="shared" si="166"/>
        <v>1E-3</v>
      </c>
      <c r="BE105" s="569"/>
      <c r="BF105" s="569"/>
      <c r="BG105" s="569"/>
      <c r="BH105" s="569"/>
      <c r="BI105" s="377" t="e">
        <f t="shared" si="167"/>
        <v>#VALUE!</v>
      </c>
      <c r="BJ105" s="377" t="e">
        <f t="shared" si="168"/>
        <v>#VALUE!</v>
      </c>
      <c r="BK105" s="377" t="e">
        <f t="shared" si="169"/>
        <v>#VALUE!</v>
      </c>
      <c r="BL105" s="377" t="e">
        <f t="shared" si="170"/>
        <v>#VALUE!</v>
      </c>
      <c r="BM105" s="377" t="e">
        <f t="shared" si="171"/>
        <v>#VALUE!</v>
      </c>
      <c r="BN105" s="377" t="e">
        <f t="shared" si="172"/>
        <v>#VALUE!</v>
      </c>
      <c r="BO105" s="377" t="e">
        <f t="shared" si="173"/>
        <v>#VALUE!</v>
      </c>
      <c r="BP105" s="377" t="e">
        <f t="shared" si="174"/>
        <v>#VALUE!</v>
      </c>
      <c r="BQ105" s="377" t="e">
        <f t="shared" si="175"/>
        <v>#VALUE!</v>
      </c>
      <c r="BR105" s="377" t="e">
        <f t="shared" si="176"/>
        <v>#VALUE!</v>
      </c>
    </row>
    <row r="106" spans="1:70" ht="12.75" hidden="1" customHeight="1" x14ac:dyDescent="0.2">
      <c r="A106" s="484" t="str">
        <f t="shared" si="133"/>
        <v/>
      </c>
      <c r="B106" s="485">
        <f t="shared" si="134"/>
        <v>-886</v>
      </c>
      <c r="C106" s="486" t="str">
        <f t="shared" si="135"/>
        <v/>
      </c>
      <c r="D106" s="487">
        <f t="shared" si="136"/>
        <v>-886</v>
      </c>
      <c r="E106" s="488" t="str">
        <f t="shared" si="137"/>
        <v/>
      </c>
      <c r="F106" s="489">
        <f t="shared" si="138"/>
        <v>-886</v>
      </c>
      <c r="G106" s="490" t="str">
        <f t="shared" si="139"/>
        <v/>
      </c>
      <c r="H106" s="489">
        <f t="shared" si="140"/>
        <v>114</v>
      </c>
      <c r="I106" s="491" t="str">
        <f t="shared" si="141"/>
        <v/>
      </c>
      <c r="J106" s="554">
        <f t="shared" si="142"/>
        <v>-886</v>
      </c>
      <c r="K106" s="526" t="str">
        <f t="shared" si="143"/>
        <v/>
      </c>
      <c r="L106" s="592" t="s">
        <v>243</v>
      </c>
      <c r="M106" s="587" t="s">
        <v>170</v>
      </c>
      <c r="N106" s="588"/>
      <c r="O106" s="589"/>
      <c r="P106" s="590"/>
      <c r="Q106" s="591" t="s">
        <v>270</v>
      </c>
      <c r="R106" s="539">
        <f>(IF(COUNT(Z106,AA106,AB106,AC106,AD106,AE106,AF106,AG106,AH106,AI106)&lt;10,SUM(Z106,AA106,AB106,AC106,AD106,AE106,AF106,AG106,AH106,AI106),SUM(LARGE((Z106,AA106,AB106,AC106,AD106,AE106,AF106,AG106,AH106,AI106),{1;2;3;4;5;6;7;8;9}))))</f>
        <v>0</v>
      </c>
      <c r="S106" s="561" t="str">
        <f>INDEX([1]ETAPP!B$1:B$32,MATCH(COUNTIF(BI106:BR106,1),[1]ETAPP!A$1:A$32,0))&amp;INDEX([1]ETAPP!B$1:B$32,MATCH(COUNTIF(BI106:BR106,2),[1]ETAPP!A$1:A$32,0))&amp;INDEX([1]ETAPP!B$1:B$32,MATCH(COUNTIF(BI106:BR106,3),[1]ETAPP!A$1:A$32,0))&amp;INDEX([1]ETAPP!B$1:B$32,MATCH(COUNTIF(BI106:BR106,4),[1]ETAPP!A$1:A$32,0))&amp;INDEX([1]ETAPP!B$1:B$32,MATCH(COUNTIF(BI106:BR106,5),[1]ETAPP!A$1:A$32,0))&amp;INDEX([1]ETAPP!B$1:B$32,MATCH(COUNTIF(BI106:BR106,6),[1]ETAPP!A$1:A$32,0))&amp;INDEX([1]ETAPP!B$1:B$32,MATCH(COUNTIF(BI106:BR106,7),[1]ETAPP!A$1:A$32,0))&amp;INDEX([1]ETAPP!B$1:B$32,MATCH(COUNTIF(BI106:BR106,8),[1]ETAPP!A$1:A$32,0))&amp;INDEX([1]ETAPP!B$1:B$32,MATCH(COUNTIF(BI106:BR106,9),[1]ETAPP!A$1:A$32,0))&amp;INDEX([1]ETAPP!B$1:B$32,MATCH(COUNTIF(BI106:BR106,10),[1]ETAPP!A$1:A$32,0))&amp;INDEX([1]ETAPP!B$1:B$32,MATCH(COUNTIF(BI106:BR106,11),[1]ETAPP!A$1:A$32,0))&amp;INDEX([1]ETAPP!B$1:B$32,MATCH(COUNTIF(BI106:BR106,12),[1]ETAPP!A$1:A$32,0))&amp;INDEX([1]ETAPP!B$1:B$32,MATCH(COUNTIF(BI106:BR106,13),[1]ETAPP!A$1:A$32,0))&amp;INDEX([1]ETAPP!B$1:B$32,MATCH(COUNTIF(BI106:BR106,14),[1]ETAPP!A$1:A$32,0))&amp;INDEX([1]ETAPP!B$1:B$32,MATCH(COUNTIF(BI106:BR106,15),[1]ETAPP!A$1:A$32,0))&amp;INDEX([1]ETAPP!B$1:B$32,MATCH(COUNTIF(BI106:BR106,16),[1]ETAPP!A$1:A$32,0))&amp;INDEX([1]ETAPP!B$1:B$32,MATCH(COUNTIF(BI106:BR106,17),[1]ETAPP!A$1:A$32,0))&amp;INDEX([1]ETAPP!B$1:B$32,MATCH(COUNTIF(BI106:BR106,18),[1]ETAPP!A$1:A$32,0))&amp;INDEX([1]ETAPP!B$1:B$32,MATCH(COUNTIF(BI106:BR106,19),[1]ETAPP!A$1:A$32,0))&amp;INDEX([1]ETAPP!B$1:B$32,MATCH(COUNTIF(BI106:BR106,20),[1]ETAPP!A$1:A$32,0))&amp;INDEX([1]ETAPP!B$1:B$32,MATCH(COUNTIF(BI106:BR106,21),[1]ETAPP!A$1:A$32,0))</f>
        <v>000000000000000000000</v>
      </c>
      <c r="T106" s="561" t="str">
        <f t="shared" si="144"/>
        <v>000,0-000000000000000000000</v>
      </c>
      <c r="U106" s="561">
        <f t="shared" si="145"/>
        <v>114</v>
      </c>
      <c r="V106" s="561">
        <f t="shared" si="146"/>
        <v>29</v>
      </c>
      <c r="W106" s="561" t="str">
        <f t="shared" si="147"/>
        <v>000,0-000000000000000000000-029</v>
      </c>
      <c r="X106" s="561">
        <f t="shared" si="148"/>
        <v>100</v>
      </c>
      <c r="Y106" s="562">
        <f t="shared" si="149"/>
        <v>15</v>
      </c>
      <c r="Z106" s="563" t="str">
        <f>IFERROR(INDEX('V1'!C$300:C$400,MATCH("*"&amp;L106&amp;"*",'V1'!B$300:B$400,0)),"  ")</f>
        <v xml:space="preserve">  </v>
      </c>
      <c r="AA106" s="563" t="str">
        <f>IFERROR(INDEX('V2'!C$300:C$400,MATCH("*"&amp;L106&amp;"*",'V2'!B$300:B$400,0)),"  ")</f>
        <v xml:space="preserve">  </v>
      </c>
      <c r="AB106" s="563" t="str">
        <f>IFERROR(INDEX('V3'!C$300:C$400,MATCH("*"&amp;L106&amp;"*",'V3'!B$300:B$400,0)),"  ")</f>
        <v xml:space="preserve">  </v>
      </c>
      <c r="AC106" s="563" t="str">
        <f>IFERROR(INDEX('V4'!C$300:C$400,MATCH("*"&amp;L106&amp;"*",'V4'!B$300:B$400,0)),"  ")</f>
        <v xml:space="preserve">  </v>
      </c>
      <c r="AD106" s="563" t="str">
        <f>IFERROR(INDEX('V5'!C$300:C$400,MATCH("*"&amp;L106&amp;"*",'V5'!B$300:B$400,0)),"  ")</f>
        <v xml:space="preserve">  </v>
      </c>
      <c r="AE106" s="563" t="str">
        <f>IFERROR(INDEX('V6'!C$300:C$400,MATCH("*"&amp;L106&amp;"*",'V6'!B$300:B$400,0)),"  ")</f>
        <v xml:space="preserve">  </v>
      </c>
      <c r="AF106" s="563" t="str">
        <f>IFERROR(INDEX('V7'!C$300:C$400,MATCH("*"&amp;L106&amp;"*",'V7'!B$300:B$400,0)),"  ")</f>
        <v xml:space="preserve">  </v>
      </c>
      <c r="AG106" s="563" t="str">
        <f>IFERROR(INDEX('V8'!C$300:C$400,MATCH("*"&amp;L106&amp;"*",'V8'!B$300:B$400,0)),"  ")</f>
        <v xml:space="preserve">  </v>
      </c>
      <c r="AH106" s="563" t="str">
        <f>IFERROR(INDEX('V9'!C$300:C$400,MATCH("*"&amp;L106&amp;"*",'V9'!B$300:B$400,0)),"  ")</f>
        <v xml:space="preserve">  </v>
      </c>
      <c r="AI106" s="563" t="str">
        <f>IFERROR(INDEX('V10'!C$300:C$400,MATCH("*"&amp;L106&amp;"*",'V10'!B$300:B$400,0)),"  ")</f>
        <v xml:space="preserve">  </v>
      </c>
      <c r="AJ106" s="564" t="str">
        <f t="shared" si="150"/>
        <v/>
      </c>
      <c r="AK106" s="565">
        <f t="shared" si="151"/>
        <v>0</v>
      </c>
      <c r="AL106" s="566" t="str">
        <f t="shared" si="152"/>
        <v/>
      </c>
      <c r="AM106" s="567" t="str">
        <f>IFERROR(INDEX(#REF!,MATCH("*"&amp;L106&amp;"*",#REF!,0)),"  ")</f>
        <v xml:space="preserve">  </v>
      </c>
      <c r="AN106" s="568">
        <f t="shared" si="153"/>
        <v>0</v>
      </c>
      <c r="AO106" s="469">
        <f t="shared" si="154"/>
        <v>0</v>
      </c>
      <c r="AP106" s="469">
        <f t="shared" si="155"/>
        <v>0</v>
      </c>
      <c r="AQ106" s="569"/>
      <c r="AR106" s="569"/>
      <c r="AS106" s="569"/>
      <c r="AT106" s="570">
        <f t="shared" si="156"/>
        <v>1E-4</v>
      </c>
      <c r="AU106" s="571">
        <f t="shared" si="157"/>
        <v>1E-4</v>
      </c>
      <c r="AV106" s="571">
        <f t="shared" si="158"/>
        <v>2.0000000000000001E-4</v>
      </c>
      <c r="AW106" s="571">
        <f t="shared" si="159"/>
        <v>2.9999999999999997E-4</v>
      </c>
      <c r="AX106" s="571">
        <f t="shared" si="160"/>
        <v>4.0000000000000002E-4</v>
      </c>
      <c r="AY106" s="571">
        <f t="shared" si="161"/>
        <v>5.0000000000000001E-4</v>
      </c>
      <c r="AZ106" s="571">
        <f t="shared" si="162"/>
        <v>5.9999999999999995E-4</v>
      </c>
      <c r="BA106" s="571">
        <f t="shared" si="163"/>
        <v>6.9999999999999999E-4</v>
      </c>
      <c r="BB106" s="571">
        <f t="shared" si="164"/>
        <v>8.0000000000000004E-4</v>
      </c>
      <c r="BC106" s="571">
        <f t="shared" si="165"/>
        <v>8.9999999999999998E-4</v>
      </c>
      <c r="BD106" s="571">
        <f t="shared" si="166"/>
        <v>1E-3</v>
      </c>
      <c r="BE106" s="569"/>
      <c r="BF106" s="569"/>
      <c r="BG106" s="569"/>
      <c r="BH106" s="569"/>
      <c r="BI106" s="377" t="e">
        <f t="shared" si="167"/>
        <v>#VALUE!</v>
      </c>
      <c r="BJ106" s="377" t="e">
        <f t="shared" si="168"/>
        <v>#VALUE!</v>
      </c>
      <c r="BK106" s="377" t="e">
        <f t="shared" si="169"/>
        <v>#VALUE!</v>
      </c>
      <c r="BL106" s="377" t="e">
        <f t="shared" si="170"/>
        <v>#VALUE!</v>
      </c>
      <c r="BM106" s="377" t="e">
        <f t="shared" si="171"/>
        <v>#VALUE!</v>
      </c>
      <c r="BN106" s="377" t="e">
        <f t="shared" si="172"/>
        <v>#VALUE!</v>
      </c>
      <c r="BO106" s="377" t="e">
        <f t="shared" si="173"/>
        <v>#VALUE!</v>
      </c>
      <c r="BP106" s="377" t="e">
        <f t="shared" si="174"/>
        <v>#VALUE!</v>
      </c>
      <c r="BQ106" s="377" t="e">
        <f t="shared" si="175"/>
        <v>#VALUE!</v>
      </c>
      <c r="BR106" s="377" t="e">
        <f t="shared" si="176"/>
        <v>#VALUE!</v>
      </c>
    </row>
    <row r="107" spans="1:70" ht="12.75" hidden="1" customHeight="1" x14ac:dyDescent="0.2">
      <c r="A107" s="484" t="str">
        <f t="shared" si="133"/>
        <v/>
      </c>
      <c r="B107" s="485">
        <f t="shared" si="134"/>
        <v>-886</v>
      </c>
      <c r="C107" s="486" t="str">
        <f t="shared" si="135"/>
        <v/>
      </c>
      <c r="D107" s="487">
        <f t="shared" si="136"/>
        <v>-886</v>
      </c>
      <c r="E107" s="488" t="str">
        <f t="shared" si="137"/>
        <v/>
      </c>
      <c r="F107" s="489">
        <f t="shared" si="138"/>
        <v>-886</v>
      </c>
      <c r="G107" s="490" t="str">
        <f t="shared" si="139"/>
        <v/>
      </c>
      <c r="H107" s="489">
        <f t="shared" si="140"/>
        <v>-886</v>
      </c>
      <c r="I107" s="491" t="str">
        <f t="shared" si="141"/>
        <v/>
      </c>
      <c r="J107" s="554">
        <f t="shared" si="142"/>
        <v>-886</v>
      </c>
      <c r="K107" s="526" t="str">
        <f t="shared" si="143"/>
        <v/>
      </c>
      <c r="L107" s="555" t="s">
        <v>275</v>
      </c>
      <c r="M107" s="556"/>
      <c r="N107" s="557"/>
      <c r="O107" s="579"/>
      <c r="P107" s="559"/>
      <c r="Q107" s="560"/>
      <c r="R107" s="539">
        <f>(IF(COUNT(Z107,AA107,AB107,AC107,AD107,AE107,AF107,AG107,AH107,AI107)&lt;10,SUM(Z107,AA107,AB107,AC107,AD107,AE107,AF107,AG107,AH107,AI107),SUM(LARGE((Z107,AA107,AB107,AC107,AD107,AE107,AF107,AG107,AH107,AI107),{1;2;3;4;5;6;7;8;9}))))</f>
        <v>0</v>
      </c>
      <c r="S107" s="561" t="str">
        <f>INDEX([1]ETAPP!B$1:B$32,MATCH(COUNTIF(BI107:BR107,1),[1]ETAPP!A$1:A$32,0))&amp;INDEX([1]ETAPP!B$1:B$32,MATCH(COUNTIF(BI107:BR107,2),[1]ETAPP!A$1:A$32,0))&amp;INDEX([1]ETAPP!B$1:B$32,MATCH(COUNTIF(BI107:BR107,3),[1]ETAPP!A$1:A$32,0))&amp;INDEX([1]ETAPP!B$1:B$32,MATCH(COUNTIF(BI107:BR107,4),[1]ETAPP!A$1:A$32,0))&amp;INDEX([1]ETAPP!B$1:B$32,MATCH(COUNTIF(BI107:BR107,5),[1]ETAPP!A$1:A$32,0))&amp;INDEX([1]ETAPP!B$1:B$32,MATCH(COUNTIF(BI107:BR107,6),[1]ETAPP!A$1:A$32,0))&amp;INDEX([1]ETAPP!B$1:B$32,MATCH(COUNTIF(BI107:BR107,7),[1]ETAPP!A$1:A$32,0))&amp;INDEX([1]ETAPP!B$1:B$32,MATCH(COUNTIF(BI107:BR107,8),[1]ETAPP!A$1:A$32,0))&amp;INDEX([1]ETAPP!B$1:B$32,MATCH(COUNTIF(BI107:BR107,9),[1]ETAPP!A$1:A$32,0))&amp;INDEX([1]ETAPP!B$1:B$32,MATCH(COUNTIF(BI107:BR107,10),[1]ETAPP!A$1:A$32,0))&amp;INDEX([1]ETAPP!B$1:B$32,MATCH(COUNTIF(BI107:BR107,11),[1]ETAPP!A$1:A$32,0))&amp;INDEX([1]ETAPP!B$1:B$32,MATCH(COUNTIF(BI107:BR107,12),[1]ETAPP!A$1:A$32,0))&amp;INDEX([1]ETAPP!B$1:B$32,MATCH(COUNTIF(BI107:BR107,13),[1]ETAPP!A$1:A$32,0))&amp;INDEX([1]ETAPP!B$1:B$32,MATCH(COUNTIF(BI107:BR107,14),[1]ETAPP!A$1:A$32,0))&amp;INDEX([1]ETAPP!B$1:B$32,MATCH(COUNTIF(BI107:BR107,15),[1]ETAPP!A$1:A$32,0))&amp;INDEX([1]ETAPP!B$1:B$32,MATCH(COUNTIF(BI107:BR107,16),[1]ETAPP!A$1:A$32,0))&amp;INDEX([1]ETAPP!B$1:B$32,MATCH(COUNTIF(BI107:BR107,17),[1]ETAPP!A$1:A$32,0))&amp;INDEX([1]ETAPP!B$1:B$32,MATCH(COUNTIF(BI107:BR107,18),[1]ETAPP!A$1:A$32,0))&amp;INDEX([1]ETAPP!B$1:B$32,MATCH(COUNTIF(BI107:BR107,19),[1]ETAPP!A$1:A$32,0))&amp;INDEX([1]ETAPP!B$1:B$32,MATCH(COUNTIF(BI107:BR107,20),[1]ETAPP!A$1:A$32,0))&amp;INDEX([1]ETAPP!B$1:B$32,MATCH(COUNTIF(BI107:BR107,21),[1]ETAPP!A$1:A$32,0))</f>
        <v>000000000000000000000</v>
      </c>
      <c r="T107" s="561" t="str">
        <f t="shared" si="144"/>
        <v>000,0-000000000000000000000</v>
      </c>
      <c r="U107" s="561">
        <f t="shared" si="145"/>
        <v>114</v>
      </c>
      <c r="V107" s="561">
        <f t="shared" si="146"/>
        <v>27</v>
      </c>
      <c r="W107" s="561" t="str">
        <f t="shared" si="147"/>
        <v>000,0-000000000000000000000-027</v>
      </c>
      <c r="X107" s="561">
        <f t="shared" si="148"/>
        <v>101</v>
      </c>
      <c r="Y107" s="562">
        <f t="shared" si="149"/>
        <v>14</v>
      </c>
      <c r="Z107" s="563" t="str">
        <f>IFERROR(INDEX('V1'!C$300:C$400,MATCH("*"&amp;L107&amp;"*",'V1'!B$300:B$400,0)),"  ")</f>
        <v xml:space="preserve">  </v>
      </c>
      <c r="AA107" s="563" t="str">
        <f>IFERROR(INDEX('V2'!C$300:C$400,MATCH("*"&amp;L107&amp;"*",'V2'!B$300:B$400,0)),"  ")</f>
        <v xml:space="preserve">  </v>
      </c>
      <c r="AB107" s="563" t="str">
        <f>IFERROR(INDEX('V3'!C$300:C$400,MATCH("*"&amp;L107&amp;"*",'V3'!B$300:B$400,0)),"  ")</f>
        <v xml:space="preserve">  </v>
      </c>
      <c r="AC107" s="563" t="str">
        <f>IFERROR(INDEX('V4'!C$300:C$400,MATCH("*"&amp;L107&amp;"*",'V4'!B$300:B$400,0)),"  ")</f>
        <v xml:space="preserve">  </v>
      </c>
      <c r="AD107" s="563" t="str">
        <f>IFERROR(INDEX('V5'!C$300:C$400,MATCH("*"&amp;L107&amp;"*",'V5'!B$300:B$400,0)),"  ")</f>
        <v xml:space="preserve">  </v>
      </c>
      <c r="AE107" s="563" t="str">
        <f>IFERROR(INDEX('V6'!C$300:C$400,MATCH("*"&amp;L107&amp;"*",'V6'!B$300:B$400,0)),"  ")</f>
        <v xml:space="preserve">  </v>
      </c>
      <c r="AF107" s="563" t="str">
        <f>IFERROR(INDEX('V7'!C$300:C$400,MATCH("*"&amp;L107&amp;"*",'V7'!B$300:B$400,0)),"  ")</f>
        <v xml:space="preserve">  </v>
      </c>
      <c r="AG107" s="563" t="str">
        <f>IFERROR(INDEX('V8'!C$300:C$400,MATCH("*"&amp;L107&amp;"*",'V8'!B$300:B$400,0)),"  ")</f>
        <v xml:space="preserve">  </v>
      </c>
      <c r="AH107" s="563" t="str">
        <f>IFERROR(INDEX('V9'!C$300:C$400,MATCH("*"&amp;L107&amp;"*",'V9'!B$300:B$400,0)),"  ")</f>
        <v xml:space="preserve">  </v>
      </c>
      <c r="AI107" s="563" t="str">
        <f>IFERROR(INDEX('V10'!C$300:C$400,MATCH("*"&amp;L107&amp;"*",'V10'!B$300:B$400,0)),"  ")</f>
        <v xml:space="preserve">  </v>
      </c>
      <c r="AJ107" s="564" t="str">
        <f t="shared" si="150"/>
        <v/>
      </c>
      <c r="AK107" s="565">
        <f t="shared" si="151"/>
        <v>0</v>
      </c>
      <c r="AL107" s="566" t="str">
        <f t="shared" si="152"/>
        <v/>
      </c>
      <c r="AM107" s="567" t="str">
        <f>IFERROR(INDEX(#REF!,MATCH("*"&amp;L107&amp;"*",#REF!,0)),"  ")</f>
        <v xml:space="preserve">  </v>
      </c>
      <c r="AN107" s="568">
        <f t="shared" si="153"/>
        <v>0</v>
      </c>
      <c r="AO107" s="469">
        <f t="shared" si="154"/>
        <v>0</v>
      </c>
      <c r="AP107" s="469">
        <f t="shared" si="155"/>
        <v>0</v>
      </c>
      <c r="AQ107" s="569"/>
      <c r="AR107" s="569"/>
      <c r="AS107" s="569"/>
      <c r="AT107" s="570">
        <f t="shared" si="156"/>
        <v>1E-4</v>
      </c>
      <c r="AU107" s="571">
        <f t="shared" si="157"/>
        <v>1E-4</v>
      </c>
      <c r="AV107" s="571">
        <f t="shared" si="158"/>
        <v>2.0000000000000001E-4</v>
      </c>
      <c r="AW107" s="571">
        <f t="shared" si="159"/>
        <v>2.9999999999999997E-4</v>
      </c>
      <c r="AX107" s="571">
        <f t="shared" si="160"/>
        <v>4.0000000000000002E-4</v>
      </c>
      <c r="AY107" s="571">
        <f t="shared" si="161"/>
        <v>5.0000000000000001E-4</v>
      </c>
      <c r="AZ107" s="571">
        <f t="shared" si="162"/>
        <v>5.9999999999999995E-4</v>
      </c>
      <c r="BA107" s="571">
        <f t="shared" si="163"/>
        <v>6.9999999999999999E-4</v>
      </c>
      <c r="BB107" s="571">
        <f t="shared" si="164"/>
        <v>8.0000000000000004E-4</v>
      </c>
      <c r="BC107" s="571">
        <f t="shared" si="165"/>
        <v>8.9999999999999998E-4</v>
      </c>
      <c r="BD107" s="571">
        <f t="shared" si="166"/>
        <v>1E-3</v>
      </c>
      <c r="BE107" s="569"/>
      <c r="BF107" s="569"/>
      <c r="BG107" s="569"/>
      <c r="BH107" s="569"/>
      <c r="BI107" s="377" t="e">
        <f t="shared" si="167"/>
        <v>#VALUE!</v>
      </c>
      <c r="BJ107" s="377" t="e">
        <f t="shared" si="168"/>
        <v>#VALUE!</v>
      </c>
      <c r="BK107" s="377" t="e">
        <f t="shared" si="169"/>
        <v>#VALUE!</v>
      </c>
      <c r="BL107" s="377" t="e">
        <f t="shared" si="170"/>
        <v>#VALUE!</v>
      </c>
      <c r="BM107" s="377" t="e">
        <f t="shared" si="171"/>
        <v>#VALUE!</v>
      </c>
      <c r="BN107" s="377" t="e">
        <f t="shared" si="172"/>
        <v>#VALUE!</v>
      </c>
      <c r="BO107" s="377" t="e">
        <f t="shared" si="173"/>
        <v>#VALUE!</v>
      </c>
      <c r="BP107" s="377" t="e">
        <f t="shared" si="174"/>
        <v>#VALUE!</v>
      </c>
      <c r="BQ107" s="377" t="e">
        <f t="shared" si="175"/>
        <v>#VALUE!</v>
      </c>
      <c r="BR107" s="377" t="e">
        <f t="shared" si="176"/>
        <v>#VALUE!</v>
      </c>
    </row>
    <row r="108" spans="1:70" ht="12.75" hidden="1" customHeight="1" x14ac:dyDescent="0.2">
      <c r="A108" s="484" t="str">
        <f t="shared" si="133"/>
        <v/>
      </c>
      <c r="B108" s="485">
        <f t="shared" si="134"/>
        <v>114</v>
      </c>
      <c r="C108" s="486" t="str">
        <f t="shared" si="135"/>
        <v/>
      </c>
      <c r="D108" s="487">
        <f t="shared" si="136"/>
        <v>-886</v>
      </c>
      <c r="E108" s="488" t="str">
        <f t="shared" si="137"/>
        <v/>
      </c>
      <c r="F108" s="489">
        <f t="shared" si="138"/>
        <v>-886</v>
      </c>
      <c r="G108" s="490" t="str">
        <f t="shared" si="139"/>
        <v/>
      </c>
      <c r="H108" s="489">
        <f t="shared" si="140"/>
        <v>114</v>
      </c>
      <c r="I108" s="491" t="str">
        <f t="shared" si="141"/>
        <v/>
      </c>
      <c r="J108" s="554">
        <f t="shared" si="142"/>
        <v>-886</v>
      </c>
      <c r="K108" s="526" t="str">
        <f t="shared" si="143"/>
        <v/>
      </c>
      <c r="L108" s="585" t="s">
        <v>244</v>
      </c>
      <c r="M108" s="556" t="s">
        <v>170</v>
      </c>
      <c r="N108" s="557"/>
      <c r="O108" s="558"/>
      <c r="P108" s="559"/>
      <c r="Q108" s="560" t="s">
        <v>148</v>
      </c>
      <c r="R108" s="539">
        <f>(IF(COUNT(Z108,AA108,AB108,AC108,AD108,AE108,AF108,AG108,AH108,AI108)&lt;10,SUM(Z108,AA108,AB108,AC108,AD108,AE108,AF108,AG108,AH108,AI108),SUM(LARGE((Z108,AA108,AB108,AC108,AD108,AE108,AF108,AG108,AH108,AI108),{1;2;3;4;5;6;7;8;9}))))</f>
        <v>0</v>
      </c>
      <c r="S108" s="561" t="str">
        <f>INDEX([1]ETAPP!B$1:B$32,MATCH(COUNTIF(BI108:BR108,1),[1]ETAPP!A$1:A$32,0))&amp;INDEX([1]ETAPP!B$1:B$32,MATCH(COUNTIF(BI108:BR108,2),[1]ETAPP!A$1:A$32,0))&amp;INDEX([1]ETAPP!B$1:B$32,MATCH(COUNTIF(BI108:BR108,3),[1]ETAPP!A$1:A$32,0))&amp;INDEX([1]ETAPP!B$1:B$32,MATCH(COUNTIF(BI108:BR108,4),[1]ETAPP!A$1:A$32,0))&amp;INDEX([1]ETAPP!B$1:B$32,MATCH(COUNTIF(BI108:BR108,5),[1]ETAPP!A$1:A$32,0))&amp;INDEX([1]ETAPP!B$1:B$32,MATCH(COUNTIF(BI108:BR108,6),[1]ETAPP!A$1:A$32,0))&amp;INDEX([1]ETAPP!B$1:B$32,MATCH(COUNTIF(BI108:BR108,7),[1]ETAPP!A$1:A$32,0))&amp;INDEX([1]ETAPP!B$1:B$32,MATCH(COUNTIF(BI108:BR108,8),[1]ETAPP!A$1:A$32,0))&amp;INDEX([1]ETAPP!B$1:B$32,MATCH(COUNTIF(BI108:BR108,9),[1]ETAPP!A$1:A$32,0))&amp;INDEX([1]ETAPP!B$1:B$32,MATCH(COUNTIF(BI108:BR108,10),[1]ETAPP!A$1:A$32,0))&amp;INDEX([1]ETAPP!B$1:B$32,MATCH(COUNTIF(BI108:BR108,11),[1]ETAPP!A$1:A$32,0))&amp;INDEX([1]ETAPP!B$1:B$32,MATCH(COUNTIF(BI108:BR108,12),[1]ETAPP!A$1:A$32,0))&amp;INDEX([1]ETAPP!B$1:B$32,MATCH(COUNTIF(BI108:BR108,13),[1]ETAPP!A$1:A$32,0))&amp;INDEX([1]ETAPP!B$1:B$32,MATCH(COUNTIF(BI108:BR108,14),[1]ETAPP!A$1:A$32,0))&amp;INDEX([1]ETAPP!B$1:B$32,MATCH(COUNTIF(BI108:BR108,15),[1]ETAPP!A$1:A$32,0))&amp;INDEX([1]ETAPP!B$1:B$32,MATCH(COUNTIF(BI108:BR108,16),[1]ETAPP!A$1:A$32,0))&amp;INDEX([1]ETAPP!B$1:B$32,MATCH(COUNTIF(BI108:BR108,17),[1]ETAPP!A$1:A$32,0))&amp;INDEX([1]ETAPP!B$1:B$32,MATCH(COUNTIF(BI108:BR108,18),[1]ETAPP!A$1:A$32,0))&amp;INDEX([1]ETAPP!B$1:B$32,MATCH(COUNTIF(BI108:BR108,19),[1]ETAPP!A$1:A$32,0))&amp;INDEX([1]ETAPP!B$1:B$32,MATCH(COUNTIF(BI108:BR108,20),[1]ETAPP!A$1:A$32,0))&amp;INDEX([1]ETAPP!B$1:B$32,MATCH(COUNTIF(BI108:BR108,21),[1]ETAPP!A$1:A$32,0))</f>
        <v>000000000000000000000</v>
      </c>
      <c r="T108" s="561" t="str">
        <f t="shared" si="144"/>
        <v>000,0-000000000000000000000</v>
      </c>
      <c r="U108" s="561">
        <f t="shared" si="145"/>
        <v>114</v>
      </c>
      <c r="V108" s="561">
        <f t="shared" si="146"/>
        <v>26</v>
      </c>
      <c r="W108" s="561" t="str">
        <f t="shared" si="147"/>
        <v>000,0-000000000000000000000-026</v>
      </c>
      <c r="X108" s="561">
        <f t="shared" si="148"/>
        <v>102</v>
      </c>
      <c r="Y108" s="562">
        <f t="shared" si="149"/>
        <v>13</v>
      </c>
      <c r="Z108" s="563" t="str">
        <f>IFERROR(INDEX('V1'!C$300:C$400,MATCH("*"&amp;L108&amp;"*",'V1'!B$300:B$400,0)),"  ")</f>
        <v xml:space="preserve">  </v>
      </c>
      <c r="AA108" s="563" t="str">
        <f>IFERROR(INDEX('V2'!C$300:C$400,MATCH("*"&amp;L108&amp;"*",'V2'!B$300:B$400,0)),"  ")</f>
        <v xml:space="preserve">  </v>
      </c>
      <c r="AB108" s="563" t="str">
        <f>IFERROR(INDEX('V3'!C$300:C$400,MATCH("*"&amp;L108&amp;"*",'V3'!B$300:B$400,0)),"  ")</f>
        <v xml:space="preserve">  </v>
      </c>
      <c r="AC108" s="563" t="str">
        <f>IFERROR(INDEX('V4'!C$300:C$400,MATCH("*"&amp;L108&amp;"*",'V4'!B$300:B$400,0)),"  ")</f>
        <v xml:space="preserve">  </v>
      </c>
      <c r="AD108" s="563" t="str">
        <f>IFERROR(INDEX('V5'!C$300:C$400,MATCH("*"&amp;L108&amp;"*",'V5'!B$300:B$400,0)),"  ")</f>
        <v xml:space="preserve">  </v>
      </c>
      <c r="AE108" s="563" t="str">
        <f>IFERROR(INDEX('V6'!C$300:C$400,MATCH("*"&amp;L108&amp;"*",'V6'!B$300:B$400,0)),"  ")</f>
        <v xml:space="preserve">  </v>
      </c>
      <c r="AF108" s="563" t="str">
        <f>IFERROR(INDEX('V7'!C$300:C$400,MATCH("*"&amp;L108&amp;"*",'V7'!B$300:B$400,0)),"  ")</f>
        <v xml:space="preserve">  </v>
      </c>
      <c r="AG108" s="563" t="str">
        <f>IFERROR(INDEX('V8'!C$300:C$400,MATCH("*"&amp;L108&amp;"*",'V8'!B$300:B$400,0)),"  ")</f>
        <v xml:space="preserve">  </v>
      </c>
      <c r="AH108" s="563" t="str">
        <f>IFERROR(INDEX('V9'!C$300:C$400,MATCH("*"&amp;L108&amp;"*",'V9'!B$300:B$400,0)),"  ")</f>
        <v xml:space="preserve">  </v>
      </c>
      <c r="AI108" s="563" t="str">
        <f>IFERROR(INDEX('V10'!C$300:C$400,MATCH("*"&amp;L108&amp;"*",'V10'!B$300:B$400,0)),"  ")</f>
        <v xml:space="preserve">  </v>
      </c>
      <c r="AJ108" s="564" t="str">
        <f t="shared" si="150"/>
        <v/>
      </c>
      <c r="AK108" s="565">
        <f t="shared" si="151"/>
        <v>0</v>
      </c>
      <c r="AL108" s="566" t="str">
        <f t="shared" si="152"/>
        <v/>
      </c>
      <c r="AM108" s="567" t="str">
        <f>IFERROR(INDEX(#REF!,MATCH("*"&amp;L108&amp;"*",#REF!,0)),"  ")</f>
        <v xml:space="preserve">  </v>
      </c>
      <c r="AN108" s="568">
        <f t="shared" si="153"/>
        <v>0</v>
      </c>
      <c r="AO108" s="469">
        <f t="shared" si="154"/>
        <v>0</v>
      </c>
      <c r="AP108" s="469">
        <f t="shared" si="155"/>
        <v>0</v>
      </c>
      <c r="AQ108" s="569"/>
      <c r="AR108" s="569"/>
      <c r="AS108" s="569"/>
      <c r="AT108" s="570">
        <f t="shared" si="156"/>
        <v>1E-4</v>
      </c>
      <c r="AU108" s="571">
        <f t="shared" si="157"/>
        <v>1E-4</v>
      </c>
      <c r="AV108" s="571">
        <f t="shared" si="158"/>
        <v>2.0000000000000001E-4</v>
      </c>
      <c r="AW108" s="571">
        <f t="shared" si="159"/>
        <v>2.9999999999999997E-4</v>
      </c>
      <c r="AX108" s="571">
        <f t="shared" si="160"/>
        <v>4.0000000000000002E-4</v>
      </c>
      <c r="AY108" s="571">
        <f t="shared" si="161"/>
        <v>5.0000000000000001E-4</v>
      </c>
      <c r="AZ108" s="571">
        <f t="shared" si="162"/>
        <v>5.9999999999999995E-4</v>
      </c>
      <c r="BA108" s="571">
        <f t="shared" si="163"/>
        <v>6.9999999999999999E-4</v>
      </c>
      <c r="BB108" s="571">
        <f t="shared" si="164"/>
        <v>8.0000000000000004E-4</v>
      </c>
      <c r="BC108" s="571">
        <f t="shared" si="165"/>
        <v>8.9999999999999998E-4</v>
      </c>
      <c r="BD108" s="571">
        <f t="shared" si="166"/>
        <v>1E-3</v>
      </c>
      <c r="BE108" s="569"/>
      <c r="BF108" s="569"/>
      <c r="BG108" s="569"/>
      <c r="BH108" s="569"/>
      <c r="BI108" s="377" t="e">
        <f t="shared" si="167"/>
        <v>#VALUE!</v>
      </c>
      <c r="BJ108" s="377" t="e">
        <f t="shared" si="168"/>
        <v>#VALUE!</v>
      </c>
      <c r="BK108" s="377" t="e">
        <f t="shared" si="169"/>
        <v>#VALUE!</v>
      </c>
      <c r="BL108" s="377" t="e">
        <f t="shared" si="170"/>
        <v>#VALUE!</v>
      </c>
      <c r="BM108" s="377" t="e">
        <f t="shared" si="171"/>
        <v>#VALUE!</v>
      </c>
      <c r="BN108" s="377" t="e">
        <f t="shared" si="172"/>
        <v>#VALUE!</v>
      </c>
      <c r="BO108" s="377" t="e">
        <f t="shared" si="173"/>
        <v>#VALUE!</v>
      </c>
      <c r="BP108" s="377" t="e">
        <f t="shared" si="174"/>
        <v>#VALUE!</v>
      </c>
      <c r="BQ108" s="377" t="e">
        <f t="shared" si="175"/>
        <v>#VALUE!</v>
      </c>
      <c r="BR108" s="377" t="e">
        <f t="shared" si="176"/>
        <v>#VALUE!</v>
      </c>
    </row>
    <row r="109" spans="1:70" ht="12.75" hidden="1" customHeight="1" x14ac:dyDescent="0.2">
      <c r="A109" s="484" t="str">
        <f t="shared" si="133"/>
        <v/>
      </c>
      <c r="B109" s="485">
        <f t="shared" si="134"/>
        <v>-886</v>
      </c>
      <c r="C109" s="486" t="str">
        <f t="shared" si="135"/>
        <v/>
      </c>
      <c r="D109" s="487">
        <f t="shared" si="136"/>
        <v>-886</v>
      </c>
      <c r="E109" s="488" t="str">
        <f t="shared" si="137"/>
        <v/>
      </c>
      <c r="F109" s="489">
        <f t="shared" si="138"/>
        <v>114</v>
      </c>
      <c r="G109" s="490" t="str">
        <f t="shared" si="139"/>
        <v/>
      </c>
      <c r="H109" s="489">
        <f t="shared" si="140"/>
        <v>-886</v>
      </c>
      <c r="I109" s="491" t="str">
        <f t="shared" si="141"/>
        <v/>
      </c>
      <c r="J109" s="554">
        <f t="shared" si="142"/>
        <v>-886</v>
      </c>
      <c r="K109" s="526" t="str">
        <f t="shared" si="143"/>
        <v/>
      </c>
      <c r="L109" s="555" t="s">
        <v>426</v>
      </c>
      <c r="M109" s="556"/>
      <c r="N109" s="557" t="s">
        <v>168</v>
      </c>
      <c r="O109" s="558"/>
      <c r="P109" s="559"/>
      <c r="Q109" s="560"/>
      <c r="R109" s="539">
        <f>(IF(COUNT(Z109,AA109,AB109,AC109,AD109,AE109,AF109,AG109,AH109,AI109)&lt;10,SUM(Z109,AA109,AB109,AC109,AD109,AE109,AF109,AG109,AH109,AI109),SUM(LARGE((Z109,AA109,AB109,AC109,AD109,AE109,AF109,AG109,AH109,AI109),{1;2;3;4;5;6;7;8;9}))))</f>
        <v>0</v>
      </c>
      <c r="S109" s="561" t="str">
        <f>INDEX([1]ETAPP!B$1:B$32,MATCH(COUNTIF(BI109:BR109,1),[1]ETAPP!A$1:A$32,0))&amp;INDEX([1]ETAPP!B$1:B$32,MATCH(COUNTIF(BI109:BR109,2),[1]ETAPP!A$1:A$32,0))&amp;INDEX([1]ETAPP!B$1:B$32,MATCH(COUNTIF(BI109:BR109,3),[1]ETAPP!A$1:A$32,0))&amp;INDEX([1]ETAPP!B$1:B$32,MATCH(COUNTIF(BI109:BR109,4),[1]ETAPP!A$1:A$32,0))&amp;INDEX([1]ETAPP!B$1:B$32,MATCH(COUNTIF(BI109:BR109,5),[1]ETAPP!A$1:A$32,0))&amp;INDEX([1]ETAPP!B$1:B$32,MATCH(COUNTIF(BI109:BR109,6),[1]ETAPP!A$1:A$32,0))&amp;INDEX([1]ETAPP!B$1:B$32,MATCH(COUNTIF(BI109:BR109,7),[1]ETAPP!A$1:A$32,0))&amp;INDEX([1]ETAPP!B$1:B$32,MATCH(COUNTIF(BI109:BR109,8),[1]ETAPP!A$1:A$32,0))&amp;INDEX([1]ETAPP!B$1:B$32,MATCH(COUNTIF(BI109:BR109,9),[1]ETAPP!A$1:A$32,0))&amp;INDEX([1]ETAPP!B$1:B$32,MATCH(COUNTIF(BI109:BR109,10),[1]ETAPP!A$1:A$32,0))&amp;INDEX([1]ETAPP!B$1:B$32,MATCH(COUNTIF(BI109:BR109,11),[1]ETAPP!A$1:A$32,0))&amp;INDEX([1]ETAPP!B$1:B$32,MATCH(COUNTIF(BI109:BR109,12),[1]ETAPP!A$1:A$32,0))&amp;INDEX([1]ETAPP!B$1:B$32,MATCH(COUNTIF(BI109:BR109,13),[1]ETAPP!A$1:A$32,0))&amp;INDEX([1]ETAPP!B$1:B$32,MATCH(COUNTIF(BI109:BR109,14),[1]ETAPP!A$1:A$32,0))&amp;INDEX([1]ETAPP!B$1:B$32,MATCH(COUNTIF(BI109:BR109,15),[1]ETAPP!A$1:A$32,0))&amp;INDEX([1]ETAPP!B$1:B$32,MATCH(COUNTIF(BI109:BR109,16),[1]ETAPP!A$1:A$32,0))&amp;INDEX([1]ETAPP!B$1:B$32,MATCH(COUNTIF(BI109:BR109,17),[1]ETAPP!A$1:A$32,0))&amp;INDEX([1]ETAPP!B$1:B$32,MATCH(COUNTIF(BI109:BR109,18),[1]ETAPP!A$1:A$32,0))&amp;INDEX([1]ETAPP!B$1:B$32,MATCH(COUNTIF(BI109:BR109,19),[1]ETAPP!A$1:A$32,0))&amp;INDEX([1]ETAPP!B$1:B$32,MATCH(COUNTIF(BI109:BR109,20),[1]ETAPP!A$1:A$32,0))&amp;INDEX([1]ETAPP!B$1:B$32,MATCH(COUNTIF(BI109:BR109,21),[1]ETAPP!A$1:A$32,0))</f>
        <v>000000000000000000000</v>
      </c>
      <c r="T109" s="561" t="str">
        <f t="shared" si="144"/>
        <v>000,0-000000000000000000000</v>
      </c>
      <c r="U109" s="561">
        <f t="shared" si="145"/>
        <v>114</v>
      </c>
      <c r="V109" s="561">
        <f t="shared" si="146"/>
        <v>25</v>
      </c>
      <c r="W109" s="561" t="str">
        <f t="shared" si="147"/>
        <v>000,0-000000000000000000000-025</v>
      </c>
      <c r="X109" s="561">
        <f t="shared" si="148"/>
        <v>103</v>
      </c>
      <c r="Y109" s="562">
        <f t="shared" si="149"/>
        <v>12</v>
      </c>
      <c r="Z109" s="563" t="str">
        <f>IFERROR(INDEX('V1'!C$300:C$400,MATCH("*"&amp;L109&amp;"*",'V1'!B$300:B$400,0)),"  ")</f>
        <v xml:space="preserve">  </v>
      </c>
      <c r="AA109" s="563" t="str">
        <f>IFERROR(INDEX('V2'!C$300:C$400,MATCH("*"&amp;L109&amp;"*",'V2'!B$300:B$400,0)),"  ")</f>
        <v xml:space="preserve">  </v>
      </c>
      <c r="AB109" s="563" t="str">
        <f>IFERROR(INDEX('V3'!C$300:C$400,MATCH("*"&amp;L109&amp;"*",'V3'!B$300:B$400,0)),"  ")</f>
        <v xml:space="preserve">  </v>
      </c>
      <c r="AC109" s="563" t="str">
        <f>IFERROR(INDEX('V4'!C$300:C$400,MATCH("*"&amp;L109&amp;"*",'V4'!B$300:B$400,0)),"  ")</f>
        <v xml:space="preserve">  </v>
      </c>
      <c r="AD109" s="563" t="str">
        <f>IFERROR(INDEX('V5'!C$300:C$400,MATCH("*"&amp;L109&amp;"*",'V5'!B$300:B$400,0)),"  ")</f>
        <v xml:space="preserve">  </v>
      </c>
      <c r="AE109" s="563" t="str">
        <f>IFERROR(INDEX('V6'!C$300:C$400,MATCH("*"&amp;L109&amp;"*",'V6'!B$300:B$400,0)),"  ")</f>
        <v xml:space="preserve">  </v>
      </c>
      <c r="AF109" s="563" t="str">
        <f>IFERROR(INDEX('V7'!C$300:C$400,MATCH("*"&amp;L109&amp;"*",'V7'!B$300:B$400,0)),"  ")</f>
        <v xml:space="preserve">  </v>
      </c>
      <c r="AG109" s="563" t="str">
        <f>IFERROR(INDEX('V8'!C$300:C$400,MATCH("*"&amp;L109&amp;"*",'V8'!B$300:B$400,0)),"  ")</f>
        <v xml:space="preserve">  </v>
      </c>
      <c r="AH109" s="563" t="str">
        <f>IFERROR(INDEX('V9'!C$300:C$400,MATCH("*"&amp;L109&amp;"*",'V9'!B$300:B$400,0)),"  ")</f>
        <v xml:space="preserve">  </v>
      </c>
      <c r="AI109" s="563" t="str">
        <f>IFERROR(INDEX('V10'!C$300:C$400,MATCH("*"&amp;L109&amp;"*",'V10'!B$300:B$400,0)),"  ")</f>
        <v xml:space="preserve">  </v>
      </c>
      <c r="AJ109" s="564" t="str">
        <f t="shared" si="150"/>
        <v/>
      </c>
      <c r="AK109" s="565">
        <f t="shared" si="151"/>
        <v>0</v>
      </c>
      <c r="AL109" s="566" t="str">
        <f t="shared" si="152"/>
        <v/>
      </c>
      <c r="AM109" s="567" t="str">
        <f>IFERROR(INDEX(#REF!,MATCH("*"&amp;L109&amp;"*",#REF!,0)),"  ")</f>
        <v xml:space="preserve">  </v>
      </c>
      <c r="AN109" s="568">
        <f t="shared" si="153"/>
        <v>0</v>
      </c>
      <c r="AO109" s="469">
        <f t="shared" si="154"/>
        <v>0</v>
      </c>
      <c r="AP109" s="469">
        <f t="shared" si="155"/>
        <v>0</v>
      </c>
      <c r="AQ109" s="569"/>
      <c r="AR109" s="569"/>
      <c r="AS109" s="569"/>
      <c r="AT109" s="570">
        <f t="shared" si="156"/>
        <v>1E-4</v>
      </c>
      <c r="AU109" s="571">
        <f t="shared" si="157"/>
        <v>1E-4</v>
      </c>
      <c r="AV109" s="571">
        <f t="shared" si="158"/>
        <v>2.0000000000000001E-4</v>
      </c>
      <c r="AW109" s="571">
        <f t="shared" si="159"/>
        <v>2.9999999999999997E-4</v>
      </c>
      <c r="AX109" s="571">
        <f t="shared" si="160"/>
        <v>4.0000000000000002E-4</v>
      </c>
      <c r="AY109" s="571">
        <f t="shared" si="161"/>
        <v>5.0000000000000001E-4</v>
      </c>
      <c r="AZ109" s="571">
        <f t="shared" si="162"/>
        <v>5.9999999999999995E-4</v>
      </c>
      <c r="BA109" s="571">
        <f t="shared" si="163"/>
        <v>6.9999999999999999E-4</v>
      </c>
      <c r="BB109" s="571">
        <f t="shared" si="164"/>
        <v>8.0000000000000004E-4</v>
      </c>
      <c r="BC109" s="571">
        <f t="shared" si="165"/>
        <v>8.9999999999999998E-4</v>
      </c>
      <c r="BD109" s="571">
        <f t="shared" si="166"/>
        <v>1E-3</v>
      </c>
      <c r="BE109" s="569"/>
      <c r="BF109" s="569"/>
      <c r="BG109" s="569"/>
      <c r="BH109" s="569"/>
      <c r="BI109" s="377" t="e">
        <f t="shared" si="167"/>
        <v>#VALUE!</v>
      </c>
      <c r="BJ109" s="377" t="e">
        <f t="shared" si="168"/>
        <v>#VALUE!</v>
      </c>
      <c r="BK109" s="377" t="e">
        <f t="shared" si="169"/>
        <v>#VALUE!</v>
      </c>
      <c r="BL109" s="377" t="e">
        <f t="shared" si="170"/>
        <v>#VALUE!</v>
      </c>
      <c r="BM109" s="377" t="e">
        <f t="shared" si="171"/>
        <v>#VALUE!</v>
      </c>
      <c r="BN109" s="377" t="e">
        <f t="shared" si="172"/>
        <v>#VALUE!</v>
      </c>
      <c r="BO109" s="377" t="e">
        <f t="shared" si="173"/>
        <v>#VALUE!</v>
      </c>
      <c r="BP109" s="377" t="e">
        <f t="shared" si="174"/>
        <v>#VALUE!</v>
      </c>
      <c r="BQ109" s="377" t="e">
        <f t="shared" si="175"/>
        <v>#VALUE!</v>
      </c>
      <c r="BR109" s="377" t="e">
        <f t="shared" si="176"/>
        <v>#VALUE!</v>
      </c>
    </row>
    <row r="110" spans="1:70" ht="12.75" hidden="1" customHeight="1" x14ac:dyDescent="0.2">
      <c r="A110" s="484" t="str">
        <f t="shared" si="133"/>
        <v/>
      </c>
      <c r="B110" s="485">
        <f t="shared" si="134"/>
        <v>-886</v>
      </c>
      <c r="C110" s="486" t="str">
        <f t="shared" si="135"/>
        <v/>
      </c>
      <c r="D110" s="487">
        <f t="shared" si="136"/>
        <v>-886</v>
      </c>
      <c r="E110" s="488" t="str">
        <f t="shared" si="137"/>
        <v/>
      </c>
      <c r="F110" s="489">
        <f t="shared" si="138"/>
        <v>114</v>
      </c>
      <c r="G110" s="490" t="str">
        <f t="shared" si="139"/>
        <v/>
      </c>
      <c r="H110" s="489">
        <f t="shared" si="140"/>
        <v>-886</v>
      </c>
      <c r="I110" s="491" t="str">
        <f t="shared" si="141"/>
        <v/>
      </c>
      <c r="J110" s="554">
        <f t="shared" si="142"/>
        <v>-886</v>
      </c>
      <c r="K110" s="526" t="str">
        <f t="shared" si="143"/>
        <v/>
      </c>
      <c r="L110" s="555" t="s">
        <v>245</v>
      </c>
      <c r="M110" s="556"/>
      <c r="N110" s="557" t="s">
        <v>168</v>
      </c>
      <c r="O110" s="558"/>
      <c r="P110" s="559"/>
      <c r="Q110" s="560" t="s">
        <v>284</v>
      </c>
      <c r="R110" s="539">
        <f>(IF(COUNT(Z110,AA110,AB110,AC110,AD110,AE110,AF110,AG110,AH110,AI110)&lt;10,SUM(Z110,AA110,AB110,AC110,AD110,AE110,AF110,AG110,AH110,AI110),SUM(LARGE((Z110,AA110,AB110,AC110,AD110,AE110,AF110,AG110,AH110,AI110),{1;2;3;4;5;6;7;8;9}))))</f>
        <v>0</v>
      </c>
      <c r="S110" s="561" t="str">
        <f>INDEX([1]ETAPP!B$1:B$32,MATCH(COUNTIF(BI110:BR110,1),[1]ETAPP!A$1:A$32,0))&amp;INDEX([1]ETAPP!B$1:B$32,MATCH(COUNTIF(BI110:BR110,2),[1]ETAPP!A$1:A$32,0))&amp;INDEX([1]ETAPP!B$1:B$32,MATCH(COUNTIF(BI110:BR110,3),[1]ETAPP!A$1:A$32,0))&amp;INDEX([1]ETAPP!B$1:B$32,MATCH(COUNTIF(BI110:BR110,4),[1]ETAPP!A$1:A$32,0))&amp;INDEX([1]ETAPP!B$1:B$32,MATCH(COUNTIF(BI110:BR110,5),[1]ETAPP!A$1:A$32,0))&amp;INDEX([1]ETAPP!B$1:B$32,MATCH(COUNTIF(BI110:BR110,6),[1]ETAPP!A$1:A$32,0))&amp;INDEX([1]ETAPP!B$1:B$32,MATCH(COUNTIF(BI110:BR110,7),[1]ETAPP!A$1:A$32,0))&amp;INDEX([1]ETAPP!B$1:B$32,MATCH(COUNTIF(BI110:BR110,8),[1]ETAPP!A$1:A$32,0))&amp;INDEX([1]ETAPP!B$1:B$32,MATCH(COUNTIF(BI110:BR110,9),[1]ETAPP!A$1:A$32,0))&amp;INDEX([1]ETAPP!B$1:B$32,MATCH(COUNTIF(BI110:BR110,10),[1]ETAPP!A$1:A$32,0))&amp;INDEX([1]ETAPP!B$1:B$32,MATCH(COUNTIF(BI110:BR110,11),[1]ETAPP!A$1:A$32,0))&amp;INDEX([1]ETAPP!B$1:B$32,MATCH(COUNTIF(BI110:BR110,12),[1]ETAPP!A$1:A$32,0))&amp;INDEX([1]ETAPP!B$1:B$32,MATCH(COUNTIF(BI110:BR110,13),[1]ETAPP!A$1:A$32,0))&amp;INDEX([1]ETAPP!B$1:B$32,MATCH(COUNTIF(BI110:BR110,14),[1]ETAPP!A$1:A$32,0))&amp;INDEX([1]ETAPP!B$1:B$32,MATCH(COUNTIF(BI110:BR110,15),[1]ETAPP!A$1:A$32,0))&amp;INDEX([1]ETAPP!B$1:B$32,MATCH(COUNTIF(BI110:BR110,16),[1]ETAPP!A$1:A$32,0))&amp;INDEX([1]ETAPP!B$1:B$32,MATCH(COUNTIF(BI110:BR110,17),[1]ETAPP!A$1:A$32,0))&amp;INDEX([1]ETAPP!B$1:B$32,MATCH(COUNTIF(BI110:BR110,18),[1]ETAPP!A$1:A$32,0))&amp;INDEX([1]ETAPP!B$1:B$32,MATCH(COUNTIF(BI110:BR110,19),[1]ETAPP!A$1:A$32,0))&amp;INDEX([1]ETAPP!B$1:B$32,MATCH(COUNTIF(BI110:BR110,20),[1]ETAPP!A$1:A$32,0))&amp;INDEX([1]ETAPP!B$1:B$32,MATCH(COUNTIF(BI110:BR110,21),[1]ETAPP!A$1:A$32,0))</f>
        <v>000000000000000000000</v>
      </c>
      <c r="T110" s="561" t="str">
        <f t="shared" si="144"/>
        <v>000,0-000000000000000000000</v>
      </c>
      <c r="U110" s="561">
        <f t="shared" si="145"/>
        <v>114</v>
      </c>
      <c r="V110" s="561">
        <f t="shared" si="146"/>
        <v>24</v>
      </c>
      <c r="W110" s="561" t="str">
        <f t="shared" si="147"/>
        <v>000,0-000000000000000000000-024</v>
      </c>
      <c r="X110" s="561">
        <f t="shared" si="148"/>
        <v>104</v>
      </c>
      <c r="Y110" s="562">
        <f t="shared" si="149"/>
        <v>11</v>
      </c>
      <c r="Z110" s="563" t="str">
        <f>IFERROR(INDEX('V1'!C$300:C$400,MATCH("*"&amp;L110&amp;"*",'V1'!B$300:B$400,0)),"  ")</f>
        <v xml:space="preserve">  </v>
      </c>
      <c r="AA110" s="563" t="str">
        <f>IFERROR(INDEX('V2'!C$300:C$400,MATCH("*"&amp;L110&amp;"*",'V2'!B$300:B$400,0)),"  ")</f>
        <v xml:space="preserve">  </v>
      </c>
      <c r="AB110" s="563" t="str">
        <f>IFERROR(INDEX('V3'!C$300:C$400,MATCH("*"&amp;L110&amp;"*",'V3'!B$300:B$400,0)),"  ")</f>
        <v xml:space="preserve">  </v>
      </c>
      <c r="AC110" s="563" t="str">
        <f>IFERROR(INDEX('V4'!C$300:C$400,MATCH("*"&amp;L110&amp;"*",'V4'!B$300:B$400,0)),"  ")</f>
        <v xml:space="preserve">  </v>
      </c>
      <c r="AD110" s="563" t="str">
        <f>IFERROR(INDEX('V5'!C$300:C$400,MATCH("*"&amp;L110&amp;"*",'V5'!B$300:B$400,0)),"  ")</f>
        <v xml:space="preserve">  </v>
      </c>
      <c r="AE110" s="563" t="str">
        <f>IFERROR(INDEX('V6'!C$300:C$400,MATCH("*"&amp;L110&amp;"*",'V6'!B$300:B$400,0)),"  ")</f>
        <v xml:space="preserve">  </v>
      </c>
      <c r="AF110" s="563" t="str">
        <f>IFERROR(INDEX('V7'!C$300:C$400,MATCH("*"&amp;L110&amp;"*",'V7'!B$300:B$400,0)),"  ")</f>
        <v xml:space="preserve">  </v>
      </c>
      <c r="AG110" s="563" t="str">
        <f>IFERROR(INDEX('V8'!C$300:C$400,MATCH("*"&amp;L110&amp;"*",'V8'!B$300:B$400,0)),"  ")</f>
        <v xml:space="preserve">  </v>
      </c>
      <c r="AH110" s="563" t="str">
        <f>IFERROR(INDEX('V9'!C$300:C$400,MATCH("*"&amp;L110&amp;"*",'V9'!B$300:B$400,0)),"  ")</f>
        <v xml:space="preserve">  </v>
      </c>
      <c r="AI110" s="563" t="str">
        <f>IFERROR(INDEX('V10'!C$300:C$400,MATCH("*"&amp;L110&amp;"*",'V10'!B$300:B$400,0)),"  ")</f>
        <v xml:space="preserve">  </v>
      </c>
      <c r="AJ110" s="564" t="str">
        <f t="shared" si="150"/>
        <v/>
      </c>
      <c r="AK110" s="565">
        <f t="shared" si="151"/>
        <v>0</v>
      </c>
      <c r="AL110" s="566" t="str">
        <f t="shared" si="152"/>
        <v/>
      </c>
      <c r="AM110" s="567" t="str">
        <f>IFERROR(INDEX(#REF!,MATCH("*"&amp;L110&amp;"*",#REF!,0)),"  ")</f>
        <v xml:space="preserve">  </v>
      </c>
      <c r="AN110" s="568">
        <f t="shared" si="153"/>
        <v>0</v>
      </c>
      <c r="AO110" s="469">
        <f t="shared" si="154"/>
        <v>0</v>
      </c>
      <c r="AP110" s="469">
        <f t="shared" si="155"/>
        <v>0</v>
      </c>
      <c r="AQ110" s="569"/>
      <c r="AR110" s="569"/>
      <c r="AS110" s="569"/>
      <c r="AT110" s="570">
        <f t="shared" si="156"/>
        <v>1E-4</v>
      </c>
      <c r="AU110" s="571">
        <f t="shared" si="157"/>
        <v>1E-4</v>
      </c>
      <c r="AV110" s="571">
        <f t="shared" si="158"/>
        <v>2.0000000000000001E-4</v>
      </c>
      <c r="AW110" s="571">
        <f t="shared" si="159"/>
        <v>2.9999999999999997E-4</v>
      </c>
      <c r="AX110" s="571">
        <f t="shared" si="160"/>
        <v>4.0000000000000002E-4</v>
      </c>
      <c r="AY110" s="571">
        <f t="shared" si="161"/>
        <v>5.0000000000000001E-4</v>
      </c>
      <c r="AZ110" s="571">
        <f t="shared" si="162"/>
        <v>5.9999999999999995E-4</v>
      </c>
      <c r="BA110" s="571">
        <f t="shared" si="163"/>
        <v>6.9999999999999999E-4</v>
      </c>
      <c r="BB110" s="571">
        <f t="shared" si="164"/>
        <v>8.0000000000000004E-4</v>
      </c>
      <c r="BC110" s="571">
        <f t="shared" si="165"/>
        <v>8.9999999999999998E-4</v>
      </c>
      <c r="BD110" s="571">
        <f t="shared" si="166"/>
        <v>1E-3</v>
      </c>
      <c r="BE110" s="569"/>
      <c r="BF110" s="569"/>
      <c r="BG110" s="569"/>
      <c r="BH110" s="569"/>
      <c r="BI110" s="377" t="e">
        <f t="shared" si="167"/>
        <v>#VALUE!</v>
      </c>
      <c r="BJ110" s="377" t="e">
        <f t="shared" si="168"/>
        <v>#VALUE!</v>
      </c>
      <c r="BK110" s="377" t="e">
        <f t="shared" si="169"/>
        <v>#VALUE!</v>
      </c>
      <c r="BL110" s="377" t="e">
        <f t="shared" si="170"/>
        <v>#VALUE!</v>
      </c>
      <c r="BM110" s="377" t="e">
        <f t="shared" si="171"/>
        <v>#VALUE!</v>
      </c>
      <c r="BN110" s="377" t="e">
        <f t="shared" si="172"/>
        <v>#VALUE!</v>
      </c>
      <c r="BO110" s="377" t="e">
        <f t="shared" si="173"/>
        <v>#VALUE!</v>
      </c>
      <c r="BP110" s="377" t="e">
        <f t="shared" si="174"/>
        <v>#VALUE!</v>
      </c>
      <c r="BQ110" s="377" t="e">
        <f t="shared" si="175"/>
        <v>#VALUE!</v>
      </c>
      <c r="BR110" s="377" t="e">
        <f t="shared" si="176"/>
        <v>#VALUE!</v>
      </c>
    </row>
    <row r="111" spans="1:70" ht="12.75" hidden="1" customHeight="1" x14ac:dyDescent="0.2">
      <c r="A111" s="484" t="str">
        <f t="shared" si="133"/>
        <v/>
      </c>
      <c r="B111" s="485">
        <f t="shared" si="134"/>
        <v>-886</v>
      </c>
      <c r="C111" s="486" t="str">
        <f t="shared" si="135"/>
        <v/>
      </c>
      <c r="D111" s="487">
        <f t="shared" si="136"/>
        <v>-886</v>
      </c>
      <c r="E111" s="488" t="str">
        <f t="shared" si="137"/>
        <v/>
      </c>
      <c r="F111" s="489">
        <f t="shared" si="138"/>
        <v>-886</v>
      </c>
      <c r="G111" s="490" t="str">
        <f t="shared" si="139"/>
        <v/>
      </c>
      <c r="H111" s="489">
        <f t="shared" si="140"/>
        <v>114</v>
      </c>
      <c r="I111" s="491" t="str">
        <f t="shared" si="141"/>
        <v/>
      </c>
      <c r="J111" s="554">
        <f t="shared" si="142"/>
        <v>-886</v>
      </c>
      <c r="K111" s="526" t="str">
        <f t="shared" si="143"/>
        <v/>
      </c>
      <c r="L111" s="573" t="s">
        <v>246</v>
      </c>
      <c r="M111" s="556" t="s">
        <v>170</v>
      </c>
      <c r="N111" s="557"/>
      <c r="O111" s="558"/>
      <c r="P111" s="559"/>
      <c r="Q111" s="560" t="s">
        <v>270</v>
      </c>
      <c r="R111" s="539">
        <f>(IF(COUNT(Z111,AA111,AB111,AC111,AD111,AE111,AF111,AG111,AH111,AI111)&lt;10,SUM(Z111,AA111,AB111,AC111,AD111,AE111,AF111,AG111,AH111,AI111),SUM(LARGE((Z111,AA111,AB111,AC111,AD111,AE111,AF111,AG111,AH111,AI111),{1;2;3;4;5;6;7;8;9}))))</f>
        <v>0</v>
      </c>
      <c r="S111" s="561" t="str">
        <f>INDEX([1]ETAPP!B$1:B$32,MATCH(COUNTIF(BI111:BR111,1),[1]ETAPP!A$1:A$32,0))&amp;INDEX([1]ETAPP!B$1:B$32,MATCH(COUNTIF(BI111:BR111,2),[1]ETAPP!A$1:A$32,0))&amp;INDEX([1]ETAPP!B$1:B$32,MATCH(COUNTIF(BI111:BR111,3),[1]ETAPP!A$1:A$32,0))&amp;INDEX([1]ETAPP!B$1:B$32,MATCH(COUNTIF(BI111:BR111,4),[1]ETAPP!A$1:A$32,0))&amp;INDEX([1]ETAPP!B$1:B$32,MATCH(COUNTIF(BI111:BR111,5),[1]ETAPP!A$1:A$32,0))&amp;INDEX([1]ETAPP!B$1:B$32,MATCH(COUNTIF(BI111:BR111,6),[1]ETAPP!A$1:A$32,0))&amp;INDEX([1]ETAPP!B$1:B$32,MATCH(COUNTIF(BI111:BR111,7),[1]ETAPP!A$1:A$32,0))&amp;INDEX([1]ETAPP!B$1:B$32,MATCH(COUNTIF(BI111:BR111,8),[1]ETAPP!A$1:A$32,0))&amp;INDEX([1]ETAPP!B$1:B$32,MATCH(COUNTIF(BI111:BR111,9),[1]ETAPP!A$1:A$32,0))&amp;INDEX([1]ETAPP!B$1:B$32,MATCH(COUNTIF(BI111:BR111,10),[1]ETAPP!A$1:A$32,0))&amp;INDEX([1]ETAPP!B$1:B$32,MATCH(COUNTIF(BI111:BR111,11),[1]ETAPP!A$1:A$32,0))&amp;INDEX([1]ETAPP!B$1:B$32,MATCH(COUNTIF(BI111:BR111,12),[1]ETAPP!A$1:A$32,0))&amp;INDEX([1]ETAPP!B$1:B$32,MATCH(COUNTIF(BI111:BR111,13),[1]ETAPP!A$1:A$32,0))&amp;INDEX([1]ETAPP!B$1:B$32,MATCH(COUNTIF(BI111:BR111,14),[1]ETAPP!A$1:A$32,0))&amp;INDEX([1]ETAPP!B$1:B$32,MATCH(COUNTIF(BI111:BR111,15),[1]ETAPP!A$1:A$32,0))&amp;INDEX([1]ETAPP!B$1:B$32,MATCH(COUNTIF(BI111:BR111,16),[1]ETAPP!A$1:A$32,0))&amp;INDEX([1]ETAPP!B$1:B$32,MATCH(COUNTIF(BI111:BR111,17),[1]ETAPP!A$1:A$32,0))&amp;INDEX([1]ETAPP!B$1:B$32,MATCH(COUNTIF(BI111:BR111,18),[1]ETAPP!A$1:A$32,0))&amp;INDEX([1]ETAPP!B$1:B$32,MATCH(COUNTIF(BI111:BR111,19),[1]ETAPP!A$1:A$32,0))&amp;INDEX([1]ETAPP!B$1:B$32,MATCH(COUNTIF(BI111:BR111,20),[1]ETAPP!A$1:A$32,0))&amp;INDEX([1]ETAPP!B$1:B$32,MATCH(COUNTIF(BI111:BR111,21),[1]ETAPP!A$1:A$32,0))</f>
        <v>000000000000000000000</v>
      </c>
      <c r="T111" s="561" t="str">
        <f t="shared" si="144"/>
        <v>000,0-000000000000000000000</v>
      </c>
      <c r="U111" s="561">
        <f t="shared" si="145"/>
        <v>114</v>
      </c>
      <c r="V111" s="561">
        <f t="shared" si="146"/>
        <v>22</v>
      </c>
      <c r="W111" s="561" t="str">
        <f t="shared" si="147"/>
        <v>000,0-000000000000000000000-022</v>
      </c>
      <c r="X111" s="561">
        <f t="shared" si="148"/>
        <v>105</v>
      </c>
      <c r="Y111" s="562">
        <f t="shared" si="149"/>
        <v>10</v>
      </c>
      <c r="Z111" s="563" t="str">
        <f>IFERROR(INDEX('V1'!C$300:C$400,MATCH("*"&amp;L111&amp;"*",'V1'!B$300:B$400,0)),"  ")</f>
        <v xml:space="preserve">  </v>
      </c>
      <c r="AA111" s="563" t="str">
        <f>IFERROR(INDEX('V2'!C$300:C$400,MATCH("*"&amp;L111&amp;"*",'V2'!B$300:B$400,0)),"  ")</f>
        <v xml:space="preserve">  </v>
      </c>
      <c r="AB111" s="563" t="str">
        <f>IFERROR(INDEX('V3'!C$300:C$400,MATCH("*"&amp;L111&amp;"*",'V3'!B$300:B$400,0)),"  ")</f>
        <v xml:space="preserve">  </v>
      </c>
      <c r="AC111" s="563" t="str">
        <f>IFERROR(INDEX('V4'!C$300:C$400,MATCH("*"&amp;L111&amp;"*",'V4'!B$300:B$400,0)),"  ")</f>
        <v xml:space="preserve">  </v>
      </c>
      <c r="AD111" s="563" t="str">
        <f>IFERROR(INDEX('V5'!C$300:C$400,MATCH("*"&amp;L111&amp;"*",'V5'!B$300:B$400,0)),"  ")</f>
        <v xml:space="preserve">  </v>
      </c>
      <c r="AE111" s="563" t="str">
        <f>IFERROR(INDEX('V6'!C$300:C$400,MATCH("*"&amp;L111&amp;"*",'V6'!B$300:B$400,0)),"  ")</f>
        <v xml:space="preserve">  </v>
      </c>
      <c r="AF111" s="563" t="str">
        <f>IFERROR(INDEX('V7'!C$300:C$400,MATCH("*"&amp;L111&amp;"*",'V7'!B$300:B$400,0)),"  ")</f>
        <v xml:space="preserve">  </v>
      </c>
      <c r="AG111" s="563" t="str">
        <f>IFERROR(INDEX('V8'!C$300:C$400,MATCH("*"&amp;L111&amp;"*",'V8'!B$300:B$400,0)),"  ")</f>
        <v xml:space="preserve">  </v>
      </c>
      <c r="AH111" s="563" t="str">
        <f>IFERROR(INDEX('V9'!C$300:C$400,MATCH("*"&amp;L111&amp;"*",'V9'!B$300:B$400,0)),"  ")</f>
        <v xml:space="preserve">  </v>
      </c>
      <c r="AI111" s="563" t="str">
        <f>IFERROR(INDEX('V10'!C$300:C$400,MATCH("*"&amp;L111&amp;"*",'V10'!B$300:B$400,0)),"  ")</f>
        <v xml:space="preserve">  </v>
      </c>
      <c r="AJ111" s="564" t="str">
        <f t="shared" si="150"/>
        <v/>
      </c>
      <c r="AK111" s="565">
        <f t="shared" si="151"/>
        <v>0</v>
      </c>
      <c r="AL111" s="566" t="str">
        <f t="shared" si="152"/>
        <v/>
      </c>
      <c r="AM111" s="567" t="str">
        <f>IFERROR(INDEX(#REF!,MATCH("*"&amp;L111&amp;"*",#REF!,0)),"  ")</f>
        <v xml:space="preserve">  </v>
      </c>
      <c r="AN111" s="568">
        <f t="shared" si="153"/>
        <v>0</v>
      </c>
      <c r="AO111" s="469">
        <f t="shared" si="154"/>
        <v>0</v>
      </c>
      <c r="AP111" s="469">
        <f t="shared" si="155"/>
        <v>0</v>
      </c>
      <c r="AQ111" s="569"/>
      <c r="AR111" s="569"/>
      <c r="AS111" s="569"/>
      <c r="AT111" s="570">
        <f t="shared" si="156"/>
        <v>1E-4</v>
      </c>
      <c r="AU111" s="571">
        <f t="shared" si="157"/>
        <v>1E-4</v>
      </c>
      <c r="AV111" s="571">
        <f t="shared" si="158"/>
        <v>2.0000000000000001E-4</v>
      </c>
      <c r="AW111" s="571">
        <f t="shared" si="159"/>
        <v>2.9999999999999997E-4</v>
      </c>
      <c r="AX111" s="571">
        <f t="shared" si="160"/>
        <v>4.0000000000000002E-4</v>
      </c>
      <c r="AY111" s="571">
        <f t="shared" si="161"/>
        <v>5.0000000000000001E-4</v>
      </c>
      <c r="AZ111" s="571">
        <f t="shared" si="162"/>
        <v>5.9999999999999995E-4</v>
      </c>
      <c r="BA111" s="571">
        <f t="shared" si="163"/>
        <v>6.9999999999999999E-4</v>
      </c>
      <c r="BB111" s="571">
        <f t="shared" si="164"/>
        <v>8.0000000000000004E-4</v>
      </c>
      <c r="BC111" s="571">
        <f t="shared" si="165"/>
        <v>8.9999999999999998E-4</v>
      </c>
      <c r="BD111" s="571">
        <f t="shared" si="166"/>
        <v>1E-3</v>
      </c>
      <c r="BE111" s="569"/>
      <c r="BF111" s="569"/>
      <c r="BG111" s="569"/>
      <c r="BH111" s="569"/>
      <c r="BI111" s="377" t="e">
        <f t="shared" si="167"/>
        <v>#VALUE!</v>
      </c>
      <c r="BJ111" s="377" t="e">
        <f t="shared" si="168"/>
        <v>#VALUE!</v>
      </c>
      <c r="BK111" s="377" t="e">
        <f t="shared" si="169"/>
        <v>#VALUE!</v>
      </c>
      <c r="BL111" s="377" t="e">
        <f t="shared" si="170"/>
        <v>#VALUE!</v>
      </c>
      <c r="BM111" s="377" t="e">
        <f t="shared" si="171"/>
        <v>#VALUE!</v>
      </c>
      <c r="BN111" s="377" t="e">
        <f t="shared" si="172"/>
        <v>#VALUE!</v>
      </c>
      <c r="BO111" s="377" t="e">
        <f t="shared" si="173"/>
        <v>#VALUE!</v>
      </c>
      <c r="BP111" s="377" t="e">
        <f t="shared" si="174"/>
        <v>#VALUE!</v>
      </c>
      <c r="BQ111" s="377" t="e">
        <f t="shared" si="175"/>
        <v>#VALUE!</v>
      </c>
      <c r="BR111" s="377" t="e">
        <f t="shared" si="176"/>
        <v>#VALUE!</v>
      </c>
    </row>
    <row r="112" spans="1:70" ht="12.75" hidden="1" customHeight="1" x14ac:dyDescent="0.2">
      <c r="A112" s="484" t="str">
        <f t="shared" si="133"/>
        <v/>
      </c>
      <c r="B112" s="485">
        <f t="shared" si="134"/>
        <v>-886</v>
      </c>
      <c r="C112" s="486" t="str">
        <f t="shared" si="135"/>
        <v/>
      </c>
      <c r="D112" s="487">
        <f t="shared" si="136"/>
        <v>114</v>
      </c>
      <c r="E112" s="488" t="str">
        <f t="shared" si="137"/>
        <v/>
      </c>
      <c r="F112" s="489">
        <f t="shared" si="138"/>
        <v>114</v>
      </c>
      <c r="G112" s="490" t="str">
        <f t="shared" si="139"/>
        <v/>
      </c>
      <c r="H112" s="489">
        <f t="shared" si="140"/>
        <v>-886</v>
      </c>
      <c r="I112" s="491" t="str">
        <f t="shared" si="141"/>
        <v/>
      </c>
      <c r="J112" s="554">
        <f t="shared" si="142"/>
        <v>-886</v>
      </c>
      <c r="K112" s="526" t="str">
        <f t="shared" si="143"/>
        <v/>
      </c>
      <c r="L112" s="596" t="s">
        <v>247</v>
      </c>
      <c r="M112" s="556"/>
      <c r="N112" s="557" t="str">
        <f>IF(M112="","m","")</f>
        <v>m</v>
      </c>
      <c r="O112" s="558"/>
      <c r="P112" s="559" t="s">
        <v>269</v>
      </c>
      <c r="Q112" s="560"/>
      <c r="R112" s="539">
        <f>(IF(COUNT(Z112,AA112,AB112,AC112,AD112,AE112,AF112,AG112,AH112,AI112)&lt;10,SUM(Z112,AA112,AB112,AC112,AD112,AE112,AF112,AG112,AH112,AI112),SUM(LARGE((Z112,AA112,AB112,AC112,AD112,AE112,AF112,AG112,AH112,AI112),{1;2;3;4;5;6;7;8;9}))))</f>
        <v>0</v>
      </c>
      <c r="S112" s="561" t="str">
        <f>INDEX([1]ETAPP!B$1:B$32,MATCH(COUNTIF(BI112:BR112,1),[1]ETAPP!A$1:A$32,0))&amp;INDEX([1]ETAPP!B$1:B$32,MATCH(COUNTIF(BI112:BR112,2),[1]ETAPP!A$1:A$32,0))&amp;INDEX([1]ETAPP!B$1:B$32,MATCH(COUNTIF(BI112:BR112,3),[1]ETAPP!A$1:A$32,0))&amp;INDEX([1]ETAPP!B$1:B$32,MATCH(COUNTIF(BI112:BR112,4),[1]ETAPP!A$1:A$32,0))&amp;INDEX([1]ETAPP!B$1:B$32,MATCH(COUNTIF(BI112:BR112,5),[1]ETAPP!A$1:A$32,0))&amp;INDEX([1]ETAPP!B$1:B$32,MATCH(COUNTIF(BI112:BR112,6),[1]ETAPP!A$1:A$32,0))&amp;INDEX([1]ETAPP!B$1:B$32,MATCH(COUNTIF(BI112:BR112,7),[1]ETAPP!A$1:A$32,0))&amp;INDEX([1]ETAPP!B$1:B$32,MATCH(COUNTIF(BI112:BR112,8),[1]ETAPP!A$1:A$32,0))&amp;INDEX([1]ETAPP!B$1:B$32,MATCH(COUNTIF(BI112:BR112,9),[1]ETAPP!A$1:A$32,0))&amp;INDEX([1]ETAPP!B$1:B$32,MATCH(COUNTIF(BI112:BR112,10),[1]ETAPP!A$1:A$32,0))&amp;INDEX([1]ETAPP!B$1:B$32,MATCH(COUNTIF(BI112:BR112,11),[1]ETAPP!A$1:A$32,0))&amp;INDEX([1]ETAPP!B$1:B$32,MATCH(COUNTIF(BI112:BR112,12),[1]ETAPP!A$1:A$32,0))&amp;INDEX([1]ETAPP!B$1:B$32,MATCH(COUNTIF(BI112:BR112,13),[1]ETAPP!A$1:A$32,0))&amp;INDEX([1]ETAPP!B$1:B$32,MATCH(COUNTIF(BI112:BR112,14),[1]ETAPP!A$1:A$32,0))&amp;INDEX([1]ETAPP!B$1:B$32,MATCH(COUNTIF(BI112:BR112,15),[1]ETAPP!A$1:A$32,0))&amp;INDEX([1]ETAPP!B$1:B$32,MATCH(COUNTIF(BI112:BR112,16),[1]ETAPP!A$1:A$32,0))&amp;INDEX([1]ETAPP!B$1:B$32,MATCH(COUNTIF(BI112:BR112,17),[1]ETAPP!A$1:A$32,0))&amp;INDEX([1]ETAPP!B$1:B$32,MATCH(COUNTIF(BI112:BR112,18),[1]ETAPP!A$1:A$32,0))&amp;INDEX([1]ETAPP!B$1:B$32,MATCH(COUNTIF(BI112:BR112,19),[1]ETAPP!A$1:A$32,0))&amp;INDEX([1]ETAPP!B$1:B$32,MATCH(COUNTIF(BI112:BR112,20),[1]ETAPP!A$1:A$32,0))&amp;INDEX([1]ETAPP!B$1:B$32,MATCH(COUNTIF(BI112:BR112,21),[1]ETAPP!A$1:A$32,0))</f>
        <v>000000000000000000000</v>
      </c>
      <c r="T112" s="561" t="str">
        <f t="shared" si="144"/>
        <v>000,0-000000000000000000000</v>
      </c>
      <c r="U112" s="561">
        <f t="shared" si="145"/>
        <v>114</v>
      </c>
      <c r="V112" s="561">
        <f t="shared" si="146"/>
        <v>20</v>
      </c>
      <c r="W112" s="561" t="str">
        <f t="shared" si="147"/>
        <v>000,0-000000000000000000000-020</v>
      </c>
      <c r="X112" s="561">
        <f t="shared" si="148"/>
        <v>106</v>
      </c>
      <c r="Y112" s="562">
        <f t="shared" si="149"/>
        <v>9</v>
      </c>
      <c r="Z112" s="563" t="str">
        <f>IFERROR(INDEX('V1'!C$300:C$400,MATCH("*"&amp;L112&amp;"*",'V1'!B$300:B$400,0)),"  ")</f>
        <v xml:space="preserve">  </v>
      </c>
      <c r="AA112" s="563" t="str">
        <f>IFERROR(INDEX('V2'!C$300:C$400,MATCH("*"&amp;L112&amp;"*",'V2'!B$300:B$400,0)),"  ")</f>
        <v xml:space="preserve">  </v>
      </c>
      <c r="AB112" s="563" t="str">
        <f>IFERROR(INDEX('V3'!C$300:C$400,MATCH("*"&amp;L112&amp;"*",'V3'!B$300:B$400,0)),"  ")</f>
        <v xml:space="preserve">  </v>
      </c>
      <c r="AC112" s="563" t="str">
        <f>IFERROR(INDEX('V4'!C$300:C$400,MATCH("*"&amp;L112&amp;"*",'V4'!B$300:B$400,0)),"  ")</f>
        <v xml:space="preserve">  </v>
      </c>
      <c r="AD112" s="563" t="str">
        <f>IFERROR(INDEX('V5'!C$300:C$400,MATCH("*"&amp;L112&amp;"*",'V5'!B$300:B$400,0)),"  ")</f>
        <v xml:space="preserve">  </v>
      </c>
      <c r="AE112" s="563" t="str">
        <f>IFERROR(INDEX('V6'!C$300:C$400,MATCH("*"&amp;L112&amp;"*",'V6'!B$300:B$400,0)),"  ")</f>
        <v xml:space="preserve">  </v>
      </c>
      <c r="AF112" s="563" t="str">
        <f>IFERROR(INDEX('V7'!C$300:C$400,MATCH("*"&amp;L112&amp;"*",'V7'!B$300:B$400,0)),"  ")</f>
        <v xml:space="preserve">  </v>
      </c>
      <c r="AG112" s="563" t="str">
        <f>IFERROR(INDEX('V8'!C$300:C$400,MATCH("*"&amp;L112&amp;"*",'V8'!B$300:B$400,0)),"  ")</f>
        <v xml:space="preserve">  </v>
      </c>
      <c r="AH112" s="563" t="str">
        <f>IFERROR(INDEX('V9'!C$300:C$400,MATCH("*"&amp;L112&amp;"*",'V9'!B$300:B$400,0)),"  ")</f>
        <v xml:space="preserve">  </v>
      </c>
      <c r="AI112" s="563" t="str">
        <f>IFERROR(INDEX('V10'!C$300:C$400,MATCH("*"&amp;L112&amp;"*",'V10'!B$300:B$400,0)),"  ")</f>
        <v xml:space="preserve">  </v>
      </c>
      <c r="AJ112" s="564" t="str">
        <f t="shared" si="150"/>
        <v/>
      </c>
      <c r="AK112" s="565">
        <f t="shared" si="151"/>
        <v>0</v>
      </c>
      <c r="AL112" s="566" t="str">
        <f t="shared" si="152"/>
        <v/>
      </c>
      <c r="AM112" s="567" t="str">
        <f>IFERROR(INDEX(#REF!,MATCH("*"&amp;L112&amp;"*",#REF!,0)),"  ")</f>
        <v xml:space="preserve">  </v>
      </c>
      <c r="AN112" s="568">
        <f t="shared" si="153"/>
        <v>0</v>
      </c>
      <c r="AO112" s="469">
        <f t="shared" si="154"/>
        <v>0</v>
      </c>
      <c r="AP112" s="469">
        <f t="shared" si="155"/>
        <v>0</v>
      </c>
      <c r="AQ112" s="569"/>
      <c r="AR112" s="569"/>
      <c r="AS112" s="569"/>
      <c r="AT112" s="570">
        <f t="shared" si="156"/>
        <v>1E-4</v>
      </c>
      <c r="AU112" s="571">
        <f t="shared" si="157"/>
        <v>1E-4</v>
      </c>
      <c r="AV112" s="571">
        <f t="shared" si="158"/>
        <v>2.0000000000000001E-4</v>
      </c>
      <c r="AW112" s="571">
        <f t="shared" si="159"/>
        <v>2.9999999999999997E-4</v>
      </c>
      <c r="AX112" s="571">
        <f t="shared" si="160"/>
        <v>4.0000000000000002E-4</v>
      </c>
      <c r="AY112" s="571">
        <f t="shared" si="161"/>
        <v>5.0000000000000001E-4</v>
      </c>
      <c r="AZ112" s="571">
        <f t="shared" si="162"/>
        <v>5.9999999999999995E-4</v>
      </c>
      <c r="BA112" s="571">
        <f t="shared" si="163"/>
        <v>6.9999999999999999E-4</v>
      </c>
      <c r="BB112" s="571">
        <f t="shared" si="164"/>
        <v>8.0000000000000004E-4</v>
      </c>
      <c r="BC112" s="571">
        <f t="shared" si="165"/>
        <v>8.9999999999999998E-4</v>
      </c>
      <c r="BD112" s="571">
        <f t="shared" si="166"/>
        <v>1E-3</v>
      </c>
      <c r="BE112" s="569"/>
      <c r="BF112" s="569"/>
      <c r="BG112" s="569"/>
      <c r="BH112" s="569"/>
      <c r="BI112" s="377" t="e">
        <f t="shared" si="167"/>
        <v>#VALUE!</v>
      </c>
      <c r="BJ112" s="377" t="e">
        <f t="shared" si="168"/>
        <v>#VALUE!</v>
      </c>
      <c r="BK112" s="377" t="e">
        <f t="shared" si="169"/>
        <v>#VALUE!</v>
      </c>
      <c r="BL112" s="377" t="e">
        <f t="shared" si="170"/>
        <v>#VALUE!</v>
      </c>
      <c r="BM112" s="377" t="e">
        <f t="shared" si="171"/>
        <v>#VALUE!</v>
      </c>
      <c r="BN112" s="377" t="e">
        <f t="shared" si="172"/>
        <v>#VALUE!</v>
      </c>
      <c r="BO112" s="377" t="e">
        <f t="shared" si="173"/>
        <v>#VALUE!</v>
      </c>
      <c r="BP112" s="377" t="e">
        <f t="shared" si="174"/>
        <v>#VALUE!</v>
      </c>
      <c r="BQ112" s="377" t="e">
        <f t="shared" si="175"/>
        <v>#VALUE!</v>
      </c>
      <c r="BR112" s="377" t="e">
        <f t="shared" si="176"/>
        <v>#VALUE!</v>
      </c>
    </row>
    <row r="113" spans="1:70" ht="12.75" hidden="1" customHeight="1" x14ac:dyDescent="0.2">
      <c r="A113" s="484" t="str">
        <f t="shared" si="133"/>
        <v/>
      </c>
      <c r="B113" s="485">
        <f t="shared" si="134"/>
        <v>-886</v>
      </c>
      <c r="C113" s="486" t="str">
        <f t="shared" si="135"/>
        <v/>
      </c>
      <c r="D113" s="487">
        <f t="shared" si="136"/>
        <v>114</v>
      </c>
      <c r="E113" s="488" t="str">
        <f t="shared" si="137"/>
        <v/>
      </c>
      <c r="F113" s="489">
        <f t="shared" si="138"/>
        <v>114</v>
      </c>
      <c r="G113" s="490" t="str">
        <f t="shared" si="139"/>
        <v/>
      </c>
      <c r="H113" s="489">
        <f t="shared" si="140"/>
        <v>-886</v>
      </c>
      <c r="I113" s="491" t="str">
        <f t="shared" si="141"/>
        <v/>
      </c>
      <c r="J113" s="554">
        <f t="shared" si="142"/>
        <v>-886</v>
      </c>
      <c r="K113" s="526" t="str">
        <f t="shared" si="143"/>
        <v/>
      </c>
      <c r="L113" s="585" t="s">
        <v>248</v>
      </c>
      <c r="M113" s="556"/>
      <c r="N113" s="557" t="str">
        <f>IF(M113="","m","")</f>
        <v>m</v>
      </c>
      <c r="O113" s="558"/>
      <c r="P113" s="559" t="s">
        <v>269</v>
      </c>
      <c r="Q113" s="560"/>
      <c r="R113" s="539">
        <f>(IF(COUNT(Z113,AA113,AB113,AC113,AD113,AE113,AF113,AG113,AH113,AI113)&lt;10,SUM(Z113,AA113,AB113,AC113,AD113,AE113,AF113,AG113,AH113,AI113),SUM(LARGE((Z113,AA113,AB113,AC113,AD113,AE113,AF113,AG113,AH113,AI113),{1;2;3;4;5;6;7;8;9}))))</f>
        <v>0</v>
      </c>
      <c r="S113" s="561" t="str">
        <f>INDEX([1]ETAPP!B$1:B$32,MATCH(COUNTIF(BI113:BR113,1),[1]ETAPP!A$1:A$32,0))&amp;INDEX([1]ETAPP!B$1:B$32,MATCH(COUNTIF(BI113:BR113,2),[1]ETAPP!A$1:A$32,0))&amp;INDEX([1]ETAPP!B$1:B$32,MATCH(COUNTIF(BI113:BR113,3),[1]ETAPP!A$1:A$32,0))&amp;INDEX([1]ETAPP!B$1:B$32,MATCH(COUNTIF(BI113:BR113,4),[1]ETAPP!A$1:A$32,0))&amp;INDEX([1]ETAPP!B$1:B$32,MATCH(COUNTIF(BI113:BR113,5),[1]ETAPP!A$1:A$32,0))&amp;INDEX([1]ETAPP!B$1:B$32,MATCH(COUNTIF(BI113:BR113,6),[1]ETAPP!A$1:A$32,0))&amp;INDEX([1]ETAPP!B$1:B$32,MATCH(COUNTIF(BI113:BR113,7),[1]ETAPP!A$1:A$32,0))&amp;INDEX([1]ETAPP!B$1:B$32,MATCH(COUNTIF(BI113:BR113,8),[1]ETAPP!A$1:A$32,0))&amp;INDEX([1]ETAPP!B$1:B$32,MATCH(COUNTIF(BI113:BR113,9),[1]ETAPP!A$1:A$32,0))&amp;INDEX([1]ETAPP!B$1:B$32,MATCH(COUNTIF(BI113:BR113,10),[1]ETAPP!A$1:A$32,0))&amp;INDEX([1]ETAPP!B$1:B$32,MATCH(COUNTIF(BI113:BR113,11),[1]ETAPP!A$1:A$32,0))&amp;INDEX([1]ETAPP!B$1:B$32,MATCH(COUNTIF(BI113:BR113,12),[1]ETAPP!A$1:A$32,0))&amp;INDEX([1]ETAPP!B$1:B$32,MATCH(COUNTIF(BI113:BR113,13),[1]ETAPP!A$1:A$32,0))&amp;INDEX([1]ETAPP!B$1:B$32,MATCH(COUNTIF(BI113:BR113,14),[1]ETAPP!A$1:A$32,0))&amp;INDEX([1]ETAPP!B$1:B$32,MATCH(COUNTIF(BI113:BR113,15),[1]ETAPP!A$1:A$32,0))&amp;INDEX([1]ETAPP!B$1:B$32,MATCH(COUNTIF(BI113:BR113,16),[1]ETAPP!A$1:A$32,0))&amp;INDEX([1]ETAPP!B$1:B$32,MATCH(COUNTIF(BI113:BR113,17),[1]ETAPP!A$1:A$32,0))&amp;INDEX([1]ETAPP!B$1:B$32,MATCH(COUNTIF(BI113:BR113,18),[1]ETAPP!A$1:A$32,0))&amp;INDEX([1]ETAPP!B$1:B$32,MATCH(COUNTIF(BI113:BR113,19),[1]ETAPP!A$1:A$32,0))&amp;INDEX([1]ETAPP!B$1:B$32,MATCH(COUNTIF(BI113:BR113,20),[1]ETAPP!A$1:A$32,0))&amp;INDEX([1]ETAPP!B$1:B$32,MATCH(COUNTIF(BI113:BR113,21),[1]ETAPP!A$1:A$32,0))</f>
        <v>000000000000000000000</v>
      </c>
      <c r="T113" s="561" t="str">
        <f t="shared" si="144"/>
        <v>000,0-000000000000000000000</v>
      </c>
      <c r="U113" s="561">
        <f t="shared" si="145"/>
        <v>114</v>
      </c>
      <c r="V113" s="561">
        <f t="shared" si="146"/>
        <v>18</v>
      </c>
      <c r="W113" s="561" t="str">
        <f t="shared" si="147"/>
        <v>000,0-000000000000000000000-018</v>
      </c>
      <c r="X113" s="561">
        <f t="shared" si="148"/>
        <v>107</v>
      </c>
      <c r="Y113" s="562">
        <f t="shared" si="149"/>
        <v>8</v>
      </c>
      <c r="Z113" s="563" t="str">
        <f>IFERROR(INDEX('V1'!C$300:C$400,MATCH("*"&amp;L113&amp;"*",'V1'!B$300:B$400,0)),"  ")</f>
        <v xml:space="preserve">  </v>
      </c>
      <c r="AA113" s="563" t="str">
        <f>IFERROR(INDEX('V2'!C$300:C$400,MATCH("*"&amp;L113&amp;"*",'V2'!B$300:B$400,0)),"  ")</f>
        <v xml:space="preserve">  </v>
      </c>
      <c r="AB113" s="563" t="str">
        <f>IFERROR(INDEX('V3'!C$300:C$400,MATCH("*"&amp;L113&amp;"*",'V3'!B$300:B$400,0)),"  ")</f>
        <v xml:space="preserve">  </v>
      </c>
      <c r="AC113" s="563" t="str">
        <f>IFERROR(INDEX('V4'!C$300:C$400,MATCH("*"&amp;L113&amp;"*",'V4'!B$300:B$400,0)),"  ")</f>
        <v xml:space="preserve">  </v>
      </c>
      <c r="AD113" s="563" t="str">
        <f>IFERROR(INDEX('V5'!C$300:C$400,MATCH("*"&amp;L113&amp;"*",'V5'!B$300:B$400,0)),"  ")</f>
        <v xml:space="preserve">  </v>
      </c>
      <c r="AE113" s="563" t="str">
        <f>IFERROR(INDEX('V6'!C$300:C$400,MATCH("*"&amp;L113&amp;"*",'V6'!B$300:B$400,0)),"  ")</f>
        <v xml:space="preserve">  </v>
      </c>
      <c r="AF113" s="563" t="str">
        <f>IFERROR(INDEX('V7'!C$300:C$400,MATCH("*"&amp;L113&amp;"*",'V7'!B$300:B$400,0)),"  ")</f>
        <v xml:space="preserve">  </v>
      </c>
      <c r="AG113" s="563" t="str">
        <f>IFERROR(INDEX('V8'!C$300:C$400,MATCH("*"&amp;L113&amp;"*",'V8'!B$300:B$400,0)),"  ")</f>
        <v xml:space="preserve">  </v>
      </c>
      <c r="AH113" s="563" t="str">
        <f>IFERROR(INDEX('V9'!C$300:C$400,MATCH("*"&amp;L113&amp;"*",'V9'!B$300:B$400,0)),"  ")</f>
        <v xml:space="preserve">  </v>
      </c>
      <c r="AI113" s="563" t="str">
        <f>IFERROR(INDEX('V10'!C$300:C$400,MATCH("*"&amp;L113&amp;"*",'V10'!B$300:B$400,0)),"  ")</f>
        <v xml:space="preserve">  </v>
      </c>
      <c r="AJ113" s="564" t="str">
        <f t="shared" si="150"/>
        <v/>
      </c>
      <c r="AK113" s="565">
        <f t="shared" si="151"/>
        <v>0</v>
      </c>
      <c r="AL113" s="566" t="str">
        <f t="shared" si="152"/>
        <v/>
      </c>
      <c r="AM113" s="567" t="str">
        <f>IFERROR(INDEX(#REF!,MATCH("*"&amp;L113&amp;"*",#REF!,0)),"  ")</f>
        <v xml:space="preserve">  </v>
      </c>
      <c r="AN113" s="568">
        <f t="shared" si="153"/>
        <v>0</v>
      </c>
      <c r="AO113" s="469">
        <f t="shared" si="154"/>
        <v>0</v>
      </c>
      <c r="AP113" s="469">
        <f t="shared" si="155"/>
        <v>0</v>
      </c>
      <c r="AQ113" s="569"/>
      <c r="AR113" s="569"/>
      <c r="AS113" s="569"/>
      <c r="AT113" s="570">
        <f t="shared" si="156"/>
        <v>1E-4</v>
      </c>
      <c r="AU113" s="571">
        <f t="shared" si="157"/>
        <v>1E-4</v>
      </c>
      <c r="AV113" s="571">
        <f t="shared" si="158"/>
        <v>2.0000000000000001E-4</v>
      </c>
      <c r="AW113" s="571">
        <f t="shared" si="159"/>
        <v>2.9999999999999997E-4</v>
      </c>
      <c r="AX113" s="571">
        <f t="shared" si="160"/>
        <v>4.0000000000000002E-4</v>
      </c>
      <c r="AY113" s="571">
        <f t="shared" si="161"/>
        <v>5.0000000000000001E-4</v>
      </c>
      <c r="AZ113" s="571">
        <f t="shared" si="162"/>
        <v>5.9999999999999995E-4</v>
      </c>
      <c r="BA113" s="571">
        <f t="shared" si="163"/>
        <v>6.9999999999999999E-4</v>
      </c>
      <c r="BB113" s="571">
        <f t="shared" si="164"/>
        <v>8.0000000000000004E-4</v>
      </c>
      <c r="BC113" s="571">
        <f t="shared" si="165"/>
        <v>8.9999999999999998E-4</v>
      </c>
      <c r="BD113" s="571">
        <f t="shared" si="166"/>
        <v>1E-3</v>
      </c>
      <c r="BE113" s="569"/>
      <c r="BF113" s="569"/>
      <c r="BG113" s="569"/>
      <c r="BH113" s="569"/>
      <c r="BI113" s="377" t="e">
        <f t="shared" si="167"/>
        <v>#VALUE!</v>
      </c>
      <c r="BJ113" s="377" t="e">
        <f t="shared" si="168"/>
        <v>#VALUE!</v>
      </c>
      <c r="BK113" s="377" t="e">
        <f t="shared" si="169"/>
        <v>#VALUE!</v>
      </c>
      <c r="BL113" s="377" t="e">
        <f t="shared" si="170"/>
        <v>#VALUE!</v>
      </c>
      <c r="BM113" s="377" t="e">
        <f t="shared" si="171"/>
        <v>#VALUE!</v>
      </c>
      <c r="BN113" s="377" t="e">
        <f t="shared" si="172"/>
        <v>#VALUE!</v>
      </c>
      <c r="BO113" s="377" t="e">
        <f t="shared" si="173"/>
        <v>#VALUE!</v>
      </c>
      <c r="BP113" s="377" t="e">
        <f t="shared" si="174"/>
        <v>#VALUE!</v>
      </c>
      <c r="BQ113" s="377" t="e">
        <f t="shared" si="175"/>
        <v>#VALUE!</v>
      </c>
      <c r="BR113" s="377" t="e">
        <f t="shared" si="176"/>
        <v>#VALUE!</v>
      </c>
    </row>
    <row r="114" spans="1:70" ht="12.75" hidden="1" customHeight="1" x14ac:dyDescent="0.2">
      <c r="A114" s="484" t="str">
        <f t="shared" si="133"/>
        <v/>
      </c>
      <c r="B114" s="485">
        <f t="shared" si="134"/>
        <v>114</v>
      </c>
      <c r="C114" s="486" t="str">
        <f t="shared" si="135"/>
        <v/>
      </c>
      <c r="D114" s="487">
        <f t="shared" si="136"/>
        <v>114</v>
      </c>
      <c r="E114" s="488" t="str">
        <f t="shared" si="137"/>
        <v/>
      </c>
      <c r="F114" s="489">
        <f t="shared" si="138"/>
        <v>114</v>
      </c>
      <c r="G114" s="490" t="str">
        <f t="shared" si="139"/>
        <v/>
      </c>
      <c r="H114" s="489">
        <f t="shared" si="140"/>
        <v>-886</v>
      </c>
      <c r="I114" s="491" t="str">
        <f t="shared" si="141"/>
        <v/>
      </c>
      <c r="J114" s="554">
        <f t="shared" si="142"/>
        <v>-886</v>
      </c>
      <c r="K114" s="526" t="str">
        <f t="shared" si="143"/>
        <v/>
      </c>
      <c r="L114" s="585" t="s">
        <v>249</v>
      </c>
      <c r="M114" s="556"/>
      <c r="N114" s="557" t="str">
        <f>IF(M114="","m","")</f>
        <v>m</v>
      </c>
      <c r="O114" s="558"/>
      <c r="P114" s="559" t="s">
        <v>269</v>
      </c>
      <c r="Q114" s="560" t="s">
        <v>148</v>
      </c>
      <c r="R114" s="539">
        <f>(IF(COUNT(Z114,AA114,AB114,AC114,AD114,AE114,AF114,AG114,AH114,AI114)&lt;10,SUM(Z114,AA114,AB114,AC114,AD114,AE114,AF114,AG114,AH114,AI114),SUM(LARGE((Z114,AA114,AB114,AC114,AD114,AE114,AF114,AG114,AH114,AI114),{1;2;3;4;5;6;7;8;9}))))</f>
        <v>0</v>
      </c>
      <c r="S114" s="561" t="str">
        <f>INDEX([1]ETAPP!B$1:B$32,MATCH(COUNTIF(BI114:BR114,1),[1]ETAPP!A$1:A$32,0))&amp;INDEX([1]ETAPP!B$1:B$32,MATCH(COUNTIF(BI114:BR114,2),[1]ETAPP!A$1:A$32,0))&amp;INDEX([1]ETAPP!B$1:B$32,MATCH(COUNTIF(BI114:BR114,3),[1]ETAPP!A$1:A$32,0))&amp;INDEX([1]ETAPP!B$1:B$32,MATCH(COUNTIF(BI114:BR114,4),[1]ETAPP!A$1:A$32,0))&amp;INDEX([1]ETAPP!B$1:B$32,MATCH(COUNTIF(BI114:BR114,5),[1]ETAPP!A$1:A$32,0))&amp;INDEX([1]ETAPP!B$1:B$32,MATCH(COUNTIF(BI114:BR114,6),[1]ETAPP!A$1:A$32,0))&amp;INDEX([1]ETAPP!B$1:B$32,MATCH(COUNTIF(BI114:BR114,7),[1]ETAPP!A$1:A$32,0))&amp;INDEX([1]ETAPP!B$1:B$32,MATCH(COUNTIF(BI114:BR114,8),[1]ETAPP!A$1:A$32,0))&amp;INDEX([1]ETAPP!B$1:B$32,MATCH(COUNTIF(BI114:BR114,9),[1]ETAPP!A$1:A$32,0))&amp;INDEX([1]ETAPP!B$1:B$32,MATCH(COUNTIF(BI114:BR114,10),[1]ETAPP!A$1:A$32,0))&amp;INDEX([1]ETAPP!B$1:B$32,MATCH(COUNTIF(BI114:BR114,11),[1]ETAPP!A$1:A$32,0))&amp;INDEX([1]ETAPP!B$1:B$32,MATCH(COUNTIF(BI114:BR114,12),[1]ETAPP!A$1:A$32,0))&amp;INDEX([1]ETAPP!B$1:B$32,MATCH(COUNTIF(BI114:BR114,13),[1]ETAPP!A$1:A$32,0))&amp;INDEX([1]ETAPP!B$1:B$32,MATCH(COUNTIF(BI114:BR114,14),[1]ETAPP!A$1:A$32,0))&amp;INDEX([1]ETAPP!B$1:B$32,MATCH(COUNTIF(BI114:BR114,15),[1]ETAPP!A$1:A$32,0))&amp;INDEX([1]ETAPP!B$1:B$32,MATCH(COUNTIF(BI114:BR114,16),[1]ETAPP!A$1:A$32,0))&amp;INDEX([1]ETAPP!B$1:B$32,MATCH(COUNTIF(BI114:BR114,17),[1]ETAPP!A$1:A$32,0))&amp;INDEX([1]ETAPP!B$1:B$32,MATCH(COUNTIF(BI114:BR114,18),[1]ETAPP!A$1:A$32,0))&amp;INDEX([1]ETAPP!B$1:B$32,MATCH(COUNTIF(BI114:BR114,19),[1]ETAPP!A$1:A$32,0))&amp;INDEX([1]ETAPP!B$1:B$32,MATCH(COUNTIF(BI114:BR114,20),[1]ETAPP!A$1:A$32,0))&amp;INDEX([1]ETAPP!B$1:B$32,MATCH(COUNTIF(BI114:BR114,21),[1]ETAPP!A$1:A$32,0))</f>
        <v>000000000000000000000</v>
      </c>
      <c r="T114" s="561" t="str">
        <f t="shared" si="144"/>
        <v>000,0-000000000000000000000</v>
      </c>
      <c r="U114" s="561">
        <f t="shared" si="145"/>
        <v>114</v>
      </c>
      <c r="V114" s="561">
        <f t="shared" si="146"/>
        <v>17</v>
      </c>
      <c r="W114" s="561" t="str">
        <f t="shared" si="147"/>
        <v>000,0-000000000000000000000-017</v>
      </c>
      <c r="X114" s="561">
        <f t="shared" si="148"/>
        <v>108</v>
      </c>
      <c r="Y114" s="562">
        <f t="shared" si="149"/>
        <v>7</v>
      </c>
      <c r="Z114" s="563" t="str">
        <f>IFERROR(INDEX('V1'!C$300:C$400,MATCH("*"&amp;L114&amp;"*",'V1'!B$300:B$400,0)),"  ")</f>
        <v xml:space="preserve">  </v>
      </c>
      <c r="AA114" s="563" t="str">
        <f>IFERROR(INDEX('V2'!C$300:C$400,MATCH("*"&amp;L114&amp;"*",'V2'!B$300:B$400,0)),"  ")</f>
        <v xml:space="preserve">  </v>
      </c>
      <c r="AB114" s="563" t="str">
        <f>IFERROR(INDEX('V3'!C$300:C$400,MATCH("*"&amp;L114&amp;"*",'V3'!B$300:B$400,0)),"  ")</f>
        <v xml:space="preserve">  </v>
      </c>
      <c r="AC114" s="563" t="str">
        <f>IFERROR(INDEX('V4'!C$300:C$400,MATCH("*"&amp;L114&amp;"*",'V4'!B$300:B$400,0)),"  ")</f>
        <v xml:space="preserve">  </v>
      </c>
      <c r="AD114" s="563" t="str">
        <f>IFERROR(INDEX('V5'!C$300:C$400,MATCH("*"&amp;L114&amp;"*",'V5'!B$300:B$400,0)),"  ")</f>
        <v xml:space="preserve">  </v>
      </c>
      <c r="AE114" s="563" t="str">
        <f>IFERROR(INDEX('V6'!C$300:C$400,MATCH("*"&amp;L114&amp;"*",'V6'!B$300:B$400,0)),"  ")</f>
        <v xml:space="preserve">  </v>
      </c>
      <c r="AF114" s="563" t="str">
        <f>IFERROR(INDEX('V7'!C$300:C$400,MATCH("*"&amp;L114&amp;"*",'V7'!B$300:B$400,0)),"  ")</f>
        <v xml:space="preserve">  </v>
      </c>
      <c r="AG114" s="563" t="str">
        <f>IFERROR(INDEX('V8'!C$300:C$400,MATCH("*"&amp;L114&amp;"*",'V8'!B$300:B$400,0)),"  ")</f>
        <v xml:space="preserve">  </v>
      </c>
      <c r="AH114" s="563" t="str">
        <f>IFERROR(INDEX('V9'!C$300:C$400,MATCH("*"&amp;L114&amp;"*",'V9'!B$300:B$400,0)),"  ")</f>
        <v xml:space="preserve">  </v>
      </c>
      <c r="AI114" s="563" t="str">
        <f>IFERROR(INDEX('V10'!C$300:C$400,MATCH("*"&amp;L114&amp;"*",'V10'!B$300:B$400,0)),"  ")</f>
        <v xml:space="preserve">  </v>
      </c>
      <c r="AJ114" s="564" t="str">
        <f t="shared" si="150"/>
        <v/>
      </c>
      <c r="AK114" s="565">
        <f t="shared" si="151"/>
        <v>0</v>
      </c>
      <c r="AL114" s="566" t="str">
        <f t="shared" si="152"/>
        <v/>
      </c>
      <c r="AM114" s="567" t="str">
        <f>IFERROR(INDEX(#REF!,MATCH("*"&amp;L114&amp;"*",#REF!,0)),"  ")</f>
        <v xml:space="preserve">  </v>
      </c>
      <c r="AN114" s="568">
        <f t="shared" si="153"/>
        <v>0</v>
      </c>
      <c r="AO114" s="469">
        <f t="shared" si="154"/>
        <v>0</v>
      </c>
      <c r="AP114" s="469">
        <f t="shared" si="155"/>
        <v>0</v>
      </c>
      <c r="AQ114" s="569"/>
      <c r="AR114" s="569"/>
      <c r="AS114" s="569"/>
      <c r="AT114" s="570">
        <f t="shared" si="156"/>
        <v>1E-4</v>
      </c>
      <c r="AU114" s="571">
        <f t="shared" si="157"/>
        <v>1E-4</v>
      </c>
      <c r="AV114" s="571">
        <f t="shared" si="158"/>
        <v>2.0000000000000001E-4</v>
      </c>
      <c r="AW114" s="571">
        <f t="shared" si="159"/>
        <v>2.9999999999999997E-4</v>
      </c>
      <c r="AX114" s="571">
        <f t="shared" si="160"/>
        <v>4.0000000000000002E-4</v>
      </c>
      <c r="AY114" s="571">
        <f t="shared" si="161"/>
        <v>5.0000000000000001E-4</v>
      </c>
      <c r="AZ114" s="571">
        <f t="shared" si="162"/>
        <v>5.9999999999999995E-4</v>
      </c>
      <c r="BA114" s="571">
        <f t="shared" si="163"/>
        <v>6.9999999999999999E-4</v>
      </c>
      <c r="BB114" s="571">
        <f t="shared" si="164"/>
        <v>8.0000000000000004E-4</v>
      </c>
      <c r="BC114" s="571">
        <f t="shared" si="165"/>
        <v>8.9999999999999998E-4</v>
      </c>
      <c r="BD114" s="571">
        <f t="shared" si="166"/>
        <v>1E-3</v>
      </c>
      <c r="BE114" s="569"/>
      <c r="BF114" s="569"/>
      <c r="BG114" s="569"/>
      <c r="BH114" s="569"/>
      <c r="BI114" s="377" t="e">
        <f t="shared" si="167"/>
        <v>#VALUE!</v>
      </c>
      <c r="BJ114" s="377" t="e">
        <f t="shared" si="168"/>
        <v>#VALUE!</v>
      </c>
      <c r="BK114" s="377" t="e">
        <f t="shared" si="169"/>
        <v>#VALUE!</v>
      </c>
      <c r="BL114" s="377" t="e">
        <f t="shared" si="170"/>
        <v>#VALUE!</v>
      </c>
      <c r="BM114" s="377" t="e">
        <f t="shared" si="171"/>
        <v>#VALUE!</v>
      </c>
      <c r="BN114" s="377" t="e">
        <f t="shared" si="172"/>
        <v>#VALUE!</v>
      </c>
      <c r="BO114" s="377" t="e">
        <f t="shared" si="173"/>
        <v>#VALUE!</v>
      </c>
      <c r="BP114" s="377" t="e">
        <f t="shared" si="174"/>
        <v>#VALUE!</v>
      </c>
      <c r="BQ114" s="377" t="e">
        <f t="shared" si="175"/>
        <v>#VALUE!</v>
      </c>
      <c r="BR114" s="377" t="e">
        <f t="shared" si="176"/>
        <v>#VALUE!</v>
      </c>
    </row>
    <row r="115" spans="1:70" ht="12.75" hidden="1" customHeight="1" x14ac:dyDescent="0.2">
      <c r="A115" s="484" t="str">
        <f t="shared" si="133"/>
        <v/>
      </c>
      <c r="B115" s="485">
        <f t="shared" si="134"/>
        <v>-886</v>
      </c>
      <c r="C115" s="486" t="str">
        <f t="shared" si="135"/>
        <v/>
      </c>
      <c r="D115" s="487">
        <f t="shared" si="136"/>
        <v>-886</v>
      </c>
      <c r="E115" s="488" t="str">
        <f t="shared" si="137"/>
        <v/>
      </c>
      <c r="F115" s="489">
        <f t="shared" si="138"/>
        <v>114</v>
      </c>
      <c r="G115" s="490" t="str">
        <f t="shared" si="139"/>
        <v/>
      </c>
      <c r="H115" s="489">
        <f t="shared" si="140"/>
        <v>-886</v>
      </c>
      <c r="I115" s="491" t="str">
        <f t="shared" si="141"/>
        <v/>
      </c>
      <c r="J115" s="554">
        <f t="shared" si="142"/>
        <v>-886</v>
      </c>
      <c r="K115" s="526" t="str">
        <f t="shared" si="143"/>
        <v/>
      </c>
      <c r="L115" s="555" t="s">
        <v>250</v>
      </c>
      <c r="M115" s="556"/>
      <c r="N115" s="557" t="s">
        <v>168</v>
      </c>
      <c r="O115" s="558"/>
      <c r="P115" s="559"/>
      <c r="Q115" s="560"/>
      <c r="R115" s="539">
        <f>(IF(COUNT(Z115,AA115,AB115,AC115,AD115,AE115,AF115,AG115,AH115,AI115)&lt;10,SUM(Z115,AA115,AB115,AC115,AD115,AE115,AF115,AG115,AH115,AI115),SUM(LARGE((Z115,AA115,AB115,AC115,AD115,AE115,AF115,AG115,AH115,AI115),{1;2;3;4;5;6;7;8;9}))))</f>
        <v>0</v>
      </c>
      <c r="S115" s="561" t="str">
        <f>INDEX([1]ETAPP!B$1:B$32,MATCH(COUNTIF(BI115:BR115,1),[1]ETAPP!A$1:A$32,0))&amp;INDEX([1]ETAPP!B$1:B$32,MATCH(COUNTIF(BI115:BR115,2),[1]ETAPP!A$1:A$32,0))&amp;INDEX([1]ETAPP!B$1:B$32,MATCH(COUNTIF(BI115:BR115,3),[1]ETAPP!A$1:A$32,0))&amp;INDEX([1]ETAPP!B$1:B$32,MATCH(COUNTIF(BI115:BR115,4),[1]ETAPP!A$1:A$32,0))&amp;INDEX([1]ETAPP!B$1:B$32,MATCH(COUNTIF(BI115:BR115,5),[1]ETAPP!A$1:A$32,0))&amp;INDEX([1]ETAPP!B$1:B$32,MATCH(COUNTIF(BI115:BR115,6),[1]ETAPP!A$1:A$32,0))&amp;INDEX([1]ETAPP!B$1:B$32,MATCH(COUNTIF(BI115:BR115,7),[1]ETAPP!A$1:A$32,0))&amp;INDEX([1]ETAPP!B$1:B$32,MATCH(COUNTIF(BI115:BR115,8),[1]ETAPP!A$1:A$32,0))&amp;INDEX([1]ETAPP!B$1:B$32,MATCH(COUNTIF(BI115:BR115,9),[1]ETAPP!A$1:A$32,0))&amp;INDEX([1]ETAPP!B$1:B$32,MATCH(COUNTIF(BI115:BR115,10),[1]ETAPP!A$1:A$32,0))&amp;INDEX([1]ETAPP!B$1:B$32,MATCH(COUNTIF(BI115:BR115,11),[1]ETAPP!A$1:A$32,0))&amp;INDEX([1]ETAPP!B$1:B$32,MATCH(COUNTIF(BI115:BR115,12),[1]ETAPP!A$1:A$32,0))&amp;INDEX([1]ETAPP!B$1:B$32,MATCH(COUNTIF(BI115:BR115,13),[1]ETAPP!A$1:A$32,0))&amp;INDEX([1]ETAPP!B$1:B$32,MATCH(COUNTIF(BI115:BR115,14),[1]ETAPP!A$1:A$32,0))&amp;INDEX([1]ETAPP!B$1:B$32,MATCH(COUNTIF(BI115:BR115,15),[1]ETAPP!A$1:A$32,0))&amp;INDEX([1]ETAPP!B$1:B$32,MATCH(COUNTIF(BI115:BR115,16),[1]ETAPP!A$1:A$32,0))&amp;INDEX([1]ETAPP!B$1:B$32,MATCH(COUNTIF(BI115:BR115,17),[1]ETAPP!A$1:A$32,0))&amp;INDEX([1]ETAPP!B$1:B$32,MATCH(COUNTIF(BI115:BR115,18),[1]ETAPP!A$1:A$32,0))&amp;INDEX([1]ETAPP!B$1:B$32,MATCH(COUNTIF(BI115:BR115,19),[1]ETAPP!A$1:A$32,0))&amp;INDEX([1]ETAPP!B$1:B$32,MATCH(COUNTIF(BI115:BR115,20),[1]ETAPP!A$1:A$32,0))&amp;INDEX([1]ETAPP!B$1:B$32,MATCH(COUNTIF(BI115:BR115,21),[1]ETAPP!A$1:A$32,0))</f>
        <v>000000000000000000000</v>
      </c>
      <c r="T115" s="561" t="str">
        <f t="shared" si="144"/>
        <v>000,0-000000000000000000000</v>
      </c>
      <c r="U115" s="561">
        <f t="shared" si="145"/>
        <v>114</v>
      </c>
      <c r="V115" s="561">
        <f t="shared" si="146"/>
        <v>16</v>
      </c>
      <c r="W115" s="561" t="str">
        <f t="shared" si="147"/>
        <v>000,0-000000000000000000000-016</v>
      </c>
      <c r="X115" s="561">
        <f t="shared" si="148"/>
        <v>109</v>
      </c>
      <c r="Y115" s="562">
        <f t="shared" si="149"/>
        <v>6</v>
      </c>
      <c r="Z115" s="563" t="str">
        <f>IFERROR(INDEX('V1'!C$300:C$400,MATCH("*"&amp;L115&amp;"*",'V1'!B$300:B$400,0)),"  ")</f>
        <v xml:space="preserve">  </v>
      </c>
      <c r="AA115" s="563" t="str">
        <f>IFERROR(INDEX('V2'!C$300:C$400,MATCH("*"&amp;L115&amp;"*",'V2'!B$300:B$400,0)),"  ")</f>
        <v xml:space="preserve">  </v>
      </c>
      <c r="AB115" s="563" t="str">
        <f>IFERROR(INDEX('V3'!C$300:C$400,MATCH("*"&amp;L115&amp;"*",'V3'!B$300:B$400,0)),"  ")</f>
        <v xml:space="preserve">  </v>
      </c>
      <c r="AC115" s="563" t="str">
        <f>IFERROR(INDEX('V4'!C$300:C$400,MATCH("*"&amp;L115&amp;"*",'V4'!B$300:B$400,0)),"  ")</f>
        <v xml:space="preserve">  </v>
      </c>
      <c r="AD115" s="563" t="str">
        <f>IFERROR(INDEX('V5'!C$300:C$400,MATCH("*"&amp;L115&amp;"*",'V5'!B$300:B$400,0)),"  ")</f>
        <v xml:space="preserve">  </v>
      </c>
      <c r="AE115" s="563" t="str">
        <f>IFERROR(INDEX('V6'!C$300:C$400,MATCH("*"&amp;L115&amp;"*",'V6'!B$300:B$400,0)),"  ")</f>
        <v xml:space="preserve">  </v>
      </c>
      <c r="AF115" s="563" t="str">
        <f>IFERROR(INDEX('V7'!C$300:C$400,MATCH("*"&amp;L115&amp;"*",'V7'!B$300:B$400,0)),"  ")</f>
        <v xml:space="preserve">  </v>
      </c>
      <c r="AG115" s="563" t="str">
        <f>IFERROR(INDEX('V8'!C$300:C$400,MATCH("*"&amp;L115&amp;"*",'V8'!B$300:B$400,0)),"  ")</f>
        <v xml:space="preserve">  </v>
      </c>
      <c r="AH115" s="563" t="str">
        <f>IFERROR(INDEX('V9'!C$300:C$400,MATCH("*"&amp;L115&amp;"*",'V9'!B$300:B$400,0)),"  ")</f>
        <v xml:space="preserve">  </v>
      </c>
      <c r="AI115" s="563" t="str">
        <f>IFERROR(INDEX('V10'!C$300:C$400,MATCH("*"&amp;L115&amp;"*",'V10'!B$300:B$400,0)),"  ")</f>
        <v xml:space="preserve">  </v>
      </c>
      <c r="AJ115" s="564" t="str">
        <f t="shared" si="150"/>
        <v/>
      </c>
      <c r="AK115" s="565">
        <f t="shared" si="151"/>
        <v>0</v>
      </c>
      <c r="AL115" s="566" t="str">
        <f t="shared" si="152"/>
        <v/>
      </c>
      <c r="AM115" s="567" t="str">
        <f>IFERROR(INDEX(#REF!,MATCH("*"&amp;L115&amp;"*",#REF!,0)),"  ")</f>
        <v xml:space="preserve">  </v>
      </c>
      <c r="AN115" s="568">
        <f t="shared" si="153"/>
        <v>0</v>
      </c>
      <c r="AO115" s="469">
        <f t="shared" si="154"/>
        <v>0</v>
      </c>
      <c r="AP115" s="469">
        <f t="shared" si="155"/>
        <v>0</v>
      </c>
      <c r="AQ115" s="569"/>
      <c r="AR115" s="569"/>
      <c r="AS115" s="569"/>
      <c r="AT115" s="570">
        <f t="shared" si="156"/>
        <v>1E-4</v>
      </c>
      <c r="AU115" s="571">
        <f t="shared" si="157"/>
        <v>1E-4</v>
      </c>
      <c r="AV115" s="571">
        <f t="shared" si="158"/>
        <v>2.0000000000000001E-4</v>
      </c>
      <c r="AW115" s="571">
        <f t="shared" si="159"/>
        <v>2.9999999999999997E-4</v>
      </c>
      <c r="AX115" s="571">
        <f t="shared" si="160"/>
        <v>4.0000000000000002E-4</v>
      </c>
      <c r="AY115" s="571">
        <f t="shared" si="161"/>
        <v>5.0000000000000001E-4</v>
      </c>
      <c r="AZ115" s="571">
        <f t="shared" si="162"/>
        <v>5.9999999999999995E-4</v>
      </c>
      <c r="BA115" s="571">
        <f t="shared" si="163"/>
        <v>6.9999999999999999E-4</v>
      </c>
      <c r="BB115" s="571">
        <f t="shared" si="164"/>
        <v>8.0000000000000004E-4</v>
      </c>
      <c r="BC115" s="571">
        <f t="shared" si="165"/>
        <v>8.9999999999999998E-4</v>
      </c>
      <c r="BD115" s="571">
        <f t="shared" si="166"/>
        <v>1E-3</v>
      </c>
      <c r="BE115" s="569"/>
      <c r="BF115" s="569"/>
      <c r="BG115" s="569"/>
      <c r="BH115" s="569"/>
      <c r="BI115" s="377" t="e">
        <f t="shared" si="167"/>
        <v>#VALUE!</v>
      </c>
      <c r="BJ115" s="377" t="e">
        <f t="shared" si="168"/>
        <v>#VALUE!</v>
      </c>
      <c r="BK115" s="377" t="e">
        <f t="shared" si="169"/>
        <v>#VALUE!</v>
      </c>
      <c r="BL115" s="377" t="e">
        <f t="shared" si="170"/>
        <v>#VALUE!</v>
      </c>
      <c r="BM115" s="377" t="e">
        <f t="shared" si="171"/>
        <v>#VALUE!</v>
      </c>
      <c r="BN115" s="377" t="e">
        <f t="shared" si="172"/>
        <v>#VALUE!</v>
      </c>
      <c r="BO115" s="377" t="e">
        <f t="shared" si="173"/>
        <v>#VALUE!</v>
      </c>
      <c r="BP115" s="377" t="e">
        <f t="shared" si="174"/>
        <v>#VALUE!</v>
      </c>
      <c r="BQ115" s="377" t="e">
        <f t="shared" si="175"/>
        <v>#VALUE!</v>
      </c>
      <c r="BR115" s="377" t="e">
        <f t="shared" si="176"/>
        <v>#VALUE!</v>
      </c>
    </row>
    <row r="116" spans="1:70" ht="12.75" hidden="1" customHeight="1" x14ac:dyDescent="0.2">
      <c r="A116" s="484" t="str">
        <f t="shared" si="133"/>
        <v/>
      </c>
      <c r="B116" s="485">
        <f t="shared" si="134"/>
        <v>-886</v>
      </c>
      <c r="C116" s="486" t="str">
        <f t="shared" si="135"/>
        <v/>
      </c>
      <c r="D116" s="487">
        <f t="shared" si="136"/>
        <v>-886</v>
      </c>
      <c r="E116" s="488" t="str">
        <f t="shared" si="137"/>
        <v/>
      </c>
      <c r="F116" s="489">
        <f t="shared" si="138"/>
        <v>114</v>
      </c>
      <c r="G116" s="490" t="str">
        <f t="shared" si="139"/>
        <v/>
      </c>
      <c r="H116" s="489">
        <f t="shared" si="140"/>
        <v>-886</v>
      </c>
      <c r="I116" s="491" t="str">
        <f t="shared" si="141"/>
        <v/>
      </c>
      <c r="J116" s="554">
        <f t="shared" si="142"/>
        <v>-886</v>
      </c>
      <c r="K116" s="526" t="str">
        <f t="shared" si="143"/>
        <v/>
      </c>
      <c r="L116" s="555" t="s">
        <v>251</v>
      </c>
      <c r="M116" s="556"/>
      <c r="N116" s="557" t="s">
        <v>168</v>
      </c>
      <c r="O116" s="558"/>
      <c r="P116" s="559"/>
      <c r="Q116" s="560" t="s">
        <v>284</v>
      </c>
      <c r="R116" s="539">
        <f>(IF(COUNT(Z116,AA116,AB116,AC116,AD116,AE116,AF116,AG116,AH116,AI116)&lt;10,SUM(Z116,AA116,AB116,AC116,AD116,AE116,AF116,AG116,AH116,AI116),SUM(LARGE((Z116,AA116,AB116,AC116,AD116,AE116,AF116,AG116,AH116,AI116),{1;2;3;4;5;6;7;8;9}))))</f>
        <v>0</v>
      </c>
      <c r="S116" s="561" t="str">
        <f>INDEX([1]ETAPP!B$1:B$32,MATCH(COUNTIF(BI116:BR116,1),[1]ETAPP!A$1:A$32,0))&amp;INDEX([1]ETAPP!B$1:B$32,MATCH(COUNTIF(BI116:BR116,2),[1]ETAPP!A$1:A$32,0))&amp;INDEX([1]ETAPP!B$1:B$32,MATCH(COUNTIF(BI116:BR116,3),[1]ETAPP!A$1:A$32,0))&amp;INDEX([1]ETAPP!B$1:B$32,MATCH(COUNTIF(BI116:BR116,4),[1]ETAPP!A$1:A$32,0))&amp;INDEX([1]ETAPP!B$1:B$32,MATCH(COUNTIF(BI116:BR116,5),[1]ETAPP!A$1:A$32,0))&amp;INDEX([1]ETAPP!B$1:B$32,MATCH(COUNTIF(BI116:BR116,6),[1]ETAPP!A$1:A$32,0))&amp;INDEX([1]ETAPP!B$1:B$32,MATCH(COUNTIF(BI116:BR116,7),[1]ETAPP!A$1:A$32,0))&amp;INDEX([1]ETAPP!B$1:B$32,MATCH(COUNTIF(BI116:BR116,8),[1]ETAPP!A$1:A$32,0))&amp;INDEX([1]ETAPP!B$1:B$32,MATCH(COUNTIF(BI116:BR116,9),[1]ETAPP!A$1:A$32,0))&amp;INDEX([1]ETAPP!B$1:B$32,MATCH(COUNTIF(BI116:BR116,10),[1]ETAPP!A$1:A$32,0))&amp;INDEX([1]ETAPP!B$1:B$32,MATCH(COUNTIF(BI116:BR116,11),[1]ETAPP!A$1:A$32,0))&amp;INDEX([1]ETAPP!B$1:B$32,MATCH(COUNTIF(BI116:BR116,12),[1]ETAPP!A$1:A$32,0))&amp;INDEX([1]ETAPP!B$1:B$32,MATCH(COUNTIF(BI116:BR116,13),[1]ETAPP!A$1:A$32,0))&amp;INDEX([1]ETAPP!B$1:B$32,MATCH(COUNTIF(BI116:BR116,14),[1]ETAPP!A$1:A$32,0))&amp;INDEX([1]ETAPP!B$1:B$32,MATCH(COUNTIF(BI116:BR116,15),[1]ETAPP!A$1:A$32,0))&amp;INDEX([1]ETAPP!B$1:B$32,MATCH(COUNTIF(BI116:BR116,16),[1]ETAPP!A$1:A$32,0))&amp;INDEX([1]ETAPP!B$1:B$32,MATCH(COUNTIF(BI116:BR116,17),[1]ETAPP!A$1:A$32,0))&amp;INDEX([1]ETAPP!B$1:B$32,MATCH(COUNTIF(BI116:BR116,18),[1]ETAPP!A$1:A$32,0))&amp;INDEX([1]ETAPP!B$1:B$32,MATCH(COUNTIF(BI116:BR116,19),[1]ETAPP!A$1:A$32,0))&amp;INDEX([1]ETAPP!B$1:B$32,MATCH(COUNTIF(BI116:BR116,20),[1]ETAPP!A$1:A$32,0))&amp;INDEX([1]ETAPP!B$1:B$32,MATCH(COUNTIF(BI116:BR116,21),[1]ETAPP!A$1:A$32,0))</f>
        <v>000000000000000000000</v>
      </c>
      <c r="T116" s="561" t="str">
        <f t="shared" si="144"/>
        <v>000,0-000000000000000000000</v>
      </c>
      <c r="U116" s="561">
        <f t="shared" si="145"/>
        <v>114</v>
      </c>
      <c r="V116" s="561">
        <f t="shared" si="146"/>
        <v>13</v>
      </c>
      <c r="W116" s="561" t="str">
        <f t="shared" si="147"/>
        <v>000,0-000000000000000000000-013</v>
      </c>
      <c r="X116" s="561">
        <f t="shared" si="148"/>
        <v>110</v>
      </c>
      <c r="Y116" s="562">
        <f t="shared" si="149"/>
        <v>5</v>
      </c>
      <c r="Z116" s="563" t="str">
        <f>IFERROR(INDEX('V1'!C$300:C$400,MATCH("*"&amp;L116&amp;"*",'V1'!B$300:B$400,0)),"  ")</f>
        <v xml:space="preserve">  </v>
      </c>
      <c r="AA116" s="563" t="str">
        <f>IFERROR(INDEX('V2'!C$300:C$400,MATCH("*"&amp;L116&amp;"*",'V2'!B$300:B$400,0)),"  ")</f>
        <v xml:space="preserve">  </v>
      </c>
      <c r="AB116" s="563" t="str">
        <f>IFERROR(INDEX('V3'!C$300:C$400,MATCH("*"&amp;L116&amp;"*",'V3'!B$300:B$400,0)),"  ")</f>
        <v xml:space="preserve">  </v>
      </c>
      <c r="AC116" s="563" t="str">
        <f>IFERROR(INDEX('V4'!C$300:C$400,MATCH("*"&amp;L116&amp;"*",'V4'!B$300:B$400,0)),"  ")</f>
        <v xml:space="preserve">  </v>
      </c>
      <c r="AD116" s="563" t="str">
        <f>IFERROR(INDEX('V5'!C$300:C$400,MATCH("*"&amp;L116&amp;"*",'V5'!B$300:B$400,0)),"  ")</f>
        <v xml:space="preserve">  </v>
      </c>
      <c r="AE116" s="563" t="str">
        <f>IFERROR(INDEX('V6'!C$300:C$400,MATCH("*"&amp;L116&amp;"*",'V6'!B$300:B$400,0)),"  ")</f>
        <v xml:space="preserve">  </v>
      </c>
      <c r="AF116" s="563" t="str">
        <f>IFERROR(INDEX('V7'!C$300:C$400,MATCH("*"&amp;L116&amp;"*",'V7'!B$300:B$400,0)),"  ")</f>
        <v xml:space="preserve">  </v>
      </c>
      <c r="AG116" s="563" t="str">
        <f>IFERROR(INDEX('V8'!C$300:C$400,MATCH("*"&amp;L116&amp;"*",'V8'!B$300:B$400,0)),"  ")</f>
        <v xml:space="preserve">  </v>
      </c>
      <c r="AH116" s="563" t="str">
        <f>IFERROR(INDEX('V9'!C$300:C$400,MATCH("*"&amp;L116&amp;"*",'V9'!B$300:B$400,0)),"  ")</f>
        <v xml:space="preserve">  </v>
      </c>
      <c r="AI116" s="563" t="str">
        <f>IFERROR(INDEX('V10'!C$300:C$400,MATCH("*"&amp;L116&amp;"*",'V10'!B$300:B$400,0)),"  ")</f>
        <v xml:space="preserve">  </v>
      </c>
      <c r="AJ116" s="564" t="str">
        <f t="shared" si="150"/>
        <v/>
      </c>
      <c r="AK116" s="565">
        <f t="shared" si="151"/>
        <v>0</v>
      </c>
      <c r="AL116" s="566" t="str">
        <f t="shared" si="152"/>
        <v/>
      </c>
      <c r="AM116" s="567" t="str">
        <f>IFERROR(INDEX(#REF!,MATCH("*"&amp;L116&amp;"*",#REF!,0)),"  ")</f>
        <v xml:space="preserve">  </v>
      </c>
      <c r="AN116" s="568">
        <f t="shared" si="153"/>
        <v>0</v>
      </c>
      <c r="AO116" s="469">
        <f t="shared" si="154"/>
        <v>0</v>
      </c>
      <c r="AP116" s="469">
        <f t="shared" si="155"/>
        <v>0</v>
      </c>
      <c r="AQ116" s="569"/>
      <c r="AR116" s="569"/>
      <c r="AS116" s="569"/>
      <c r="AT116" s="570">
        <f t="shared" si="156"/>
        <v>1E-4</v>
      </c>
      <c r="AU116" s="571">
        <f t="shared" si="157"/>
        <v>1E-4</v>
      </c>
      <c r="AV116" s="571">
        <f t="shared" si="158"/>
        <v>2.0000000000000001E-4</v>
      </c>
      <c r="AW116" s="571">
        <f t="shared" si="159"/>
        <v>2.9999999999999997E-4</v>
      </c>
      <c r="AX116" s="571">
        <f t="shared" si="160"/>
        <v>4.0000000000000002E-4</v>
      </c>
      <c r="AY116" s="571">
        <f t="shared" si="161"/>
        <v>5.0000000000000001E-4</v>
      </c>
      <c r="AZ116" s="571">
        <f t="shared" si="162"/>
        <v>5.9999999999999995E-4</v>
      </c>
      <c r="BA116" s="571">
        <f t="shared" si="163"/>
        <v>6.9999999999999999E-4</v>
      </c>
      <c r="BB116" s="571">
        <f t="shared" si="164"/>
        <v>8.0000000000000004E-4</v>
      </c>
      <c r="BC116" s="571">
        <f t="shared" si="165"/>
        <v>8.9999999999999998E-4</v>
      </c>
      <c r="BD116" s="571">
        <f t="shared" si="166"/>
        <v>1E-3</v>
      </c>
      <c r="BE116" s="569"/>
      <c r="BF116" s="569"/>
      <c r="BG116" s="569"/>
      <c r="BH116" s="569"/>
      <c r="BI116" s="377" t="e">
        <f t="shared" si="167"/>
        <v>#VALUE!</v>
      </c>
      <c r="BJ116" s="377" t="e">
        <f t="shared" si="168"/>
        <v>#VALUE!</v>
      </c>
      <c r="BK116" s="377" t="e">
        <f t="shared" si="169"/>
        <v>#VALUE!</v>
      </c>
      <c r="BL116" s="377" t="e">
        <f t="shared" si="170"/>
        <v>#VALUE!</v>
      </c>
      <c r="BM116" s="377" t="e">
        <f t="shared" si="171"/>
        <v>#VALUE!</v>
      </c>
      <c r="BN116" s="377" t="e">
        <f t="shared" si="172"/>
        <v>#VALUE!</v>
      </c>
      <c r="BO116" s="377" t="e">
        <f t="shared" si="173"/>
        <v>#VALUE!</v>
      </c>
      <c r="BP116" s="377" t="e">
        <f t="shared" si="174"/>
        <v>#VALUE!</v>
      </c>
      <c r="BQ116" s="377" t="e">
        <f t="shared" si="175"/>
        <v>#VALUE!</v>
      </c>
      <c r="BR116" s="377" t="e">
        <f t="shared" si="176"/>
        <v>#VALUE!</v>
      </c>
    </row>
    <row r="117" spans="1:70" ht="12.75" hidden="1" customHeight="1" x14ac:dyDescent="0.2">
      <c r="A117" s="484" t="str">
        <f t="shared" si="133"/>
        <v/>
      </c>
      <c r="B117" s="485">
        <f t="shared" si="134"/>
        <v>114</v>
      </c>
      <c r="C117" s="486" t="str">
        <f t="shared" si="135"/>
        <v/>
      </c>
      <c r="D117" s="487">
        <f t="shared" si="136"/>
        <v>-886</v>
      </c>
      <c r="E117" s="488" t="str">
        <f t="shared" si="137"/>
        <v/>
      </c>
      <c r="F117" s="489">
        <f t="shared" si="138"/>
        <v>-886</v>
      </c>
      <c r="G117" s="490" t="str">
        <f t="shared" si="139"/>
        <v/>
      </c>
      <c r="H117" s="489">
        <f t="shared" si="140"/>
        <v>114</v>
      </c>
      <c r="I117" s="491" t="str">
        <f t="shared" si="141"/>
        <v/>
      </c>
      <c r="J117" s="554">
        <f t="shared" si="142"/>
        <v>-886</v>
      </c>
      <c r="K117" s="526" t="str">
        <f t="shared" si="143"/>
        <v/>
      </c>
      <c r="L117" s="555" t="s">
        <v>252</v>
      </c>
      <c r="M117" s="556" t="s">
        <v>170</v>
      </c>
      <c r="N117" s="557" t="str">
        <f>IF(M117="","m","")</f>
        <v/>
      </c>
      <c r="O117" s="558"/>
      <c r="P117" s="559"/>
      <c r="Q117" s="560" t="s">
        <v>148</v>
      </c>
      <c r="R117" s="539">
        <f>(IF(COUNT(Z117,AA117,AB117,AC117,AD117,AE117,AF117,AG117,AH117,AI117)&lt;10,SUM(Z117,AA117,AB117,AC117,AD117,AE117,AF117,AG117,AH117,AI117),SUM(LARGE((Z117,AA117,AB117,AC117,AD117,AE117,AF117,AG117,AH117,AI117),{1;2;3;4;5;6;7;8;9}))))</f>
        <v>0</v>
      </c>
      <c r="S117" s="561" t="str">
        <f>INDEX([1]ETAPP!B$1:B$32,MATCH(COUNTIF(BI117:BR117,1),[1]ETAPP!A$1:A$32,0))&amp;INDEX([1]ETAPP!B$1:B$32,MATCH(COUNTIF(BI117:BR117,2),[1]ETAPP!A$1:A$32,0))&amp;INDEX([1]ETAPP!B$1:B$32,MATCH(COUNTIF(BI117:BR117,3),[1]ETAPP!A$1:A$32,0))&amp;INDEX([1]ETAPP!B$1:B$32,MATCH(COUNTIF(BI117:BR117,4),[1]ETAPP!A$1:A$32,0))&amp;INDEX([1]ETAPP!B$1:B$32,MATCH(COUNTIF(BI117:BR117,5),[1]ETAPP!A$1:A$32,0))&amp;INDEX([1]ETAPP!B$1:B$32,MATCH(COUNTIF(BI117:BR117,6),[1]ETAPP!A$1:A$32,0))&amp;INDEX([1]ETAPP!B$1:B$32,MATCH(COUNTIF(BI117:BR117,7),[1]ETAPP!A$1:A$32,0))&amp;INDEX([1]ETAPP!B$1:B$32,MATCH(COUNTIF(BI117:BR117,8),[1]ETAPP!A$1:A$32,0))&amp;INDEX([1]ETAPP!B$1:B$32,MATCH(COUNTIF(BI117:BR117,9),[1]ETAPP!A$1:A$32,0))&amp;INDEX([1]ETAPP!B$1:B$32,MATCH(COUNTIF(BI117:BR117,10),[1]ETAPP!A$1:A$32,0))&amp;INDEX([1]ETAPP!B$1:B$32,MATCH(COUNTIF(BI117:BR117,11),[1]ETAPP!A$1:A$32,0))&amp;INDEX([1]ETAPP!B$1:B$32,MATCH(COUNTIF(BI117:BR117,12),[1]ETAPP!A$1:A$32,0))&amp;INDEX([1]ETAPP!B$1:B$32,MATCH(COUNTIF(BI117:BR117,13),[1]ETAPP!A$1:A$32,0))&amp;INDEX([1]ETAPP!B$1:B$32,MATCH(COUNTIF(BI117:BR117,14),[1]ETAPP!A$1:A$32,0))&amp;INDEX([1]ETAPP!B$1:B$32,MATCH(COUNTIF(BI117:BR117,15),[1]ETAPP!A$1:A$32,0))&amp;INDEX([1]ETAPP!B$1:B$32,MATCH(COUNTIF(BI117:BR117,16),[1]ETAPP!A$1:A$32,0))&amp;INDEX([1]ETAPP!B$1:B$32,MATCH(COUNTIF(BI117:BR117,17),[1]ETAPP!A$1:A$32,0))&amp;INDEX([1]ETAPP!B$1:B$32,MATCH(COUNTIF(BI117:BR117,18),[1]ETAPP!A$1:A$32,0))&amp;INDEX([1]ETAPP!B$1:B$32,MATCH(COUNTIF(BI117:BR117,19),[1]ETAPP!A$1:A$32,0))&amp;INDEX([1]ETAPP!B$1:B$32,MATCH(COUNTIF(BI117:BR117,20),[1]ETAPP!A$1:A$32,0))&amp;INDEX([1]ETAPP!B$1:B$32,MATCH(COUNTIF(BI117:BR117,21),[1]ETAPP!A$1:A$32,0))</f>
        <v>000000000000000000000</v>
      </c>
      <c r="T117" s="561" t="str">
        <f t="shared" si="144"/>
        <v>000,0-000000000000000000000</v>
      </c>
      <c r="U117" s="561">
        <f t="shared" si="145"/>
        <v>114</v>
      </c>
      <c r="V117" s="561">
        <f t="shared" si="146"/>
        <v>7</v>
      </c>
      <c r="W117" s="561" t="str">
        <f t="shared" si="147"/>
        <v>000,0-000000000000000000000-007</v>
      </c>
      <c r="X117" s="561">
        <f t="shared" si="148"/>
        <v>111</v>
      </c>
      <c r="Y117" s="562">
        <f t="shared" si="149"/>
        <v>4</v>
      </c>
      <c r="Z117" s="563" t="str">
        <f>IFERROR(INDEX('V1'!C$300:C$400,MATCH("*"&amp;L117&amp;"*",'V1'!B$300:B$400,0)),"  ")</f>
        <v xml:space="preserve">  </v>
      </c>
      <c r="AA117" s="563" t="str">
        <f>IFERROR(INDEX('V2'!C$300:C$400,MATCH("*"&amp;L117&amp;"*",'V2'!B$300:B$400,0)),"  ")</f>
        <v xml:space="preserve">  </v>
      </c>
      <c r="AB117" s="563" t="str">
        <f>IFERROR(INDEX('V3'!C$300:C$400,MATCH("*"&amp;L117&amp;"*",'V3'!B$300:B$400,0)),"  ")</f>
        <v xml:space="preserve">  </v>
      </c>
      <c r="AC117" s="563" t="str">
        <f>IFERROR(INDEX('V4'!C$300:C$400,MATCH("*"&amp;L117&amp;"*",'V4'!B$300:B$400,0)),"  ")</f>
        <v xml:space="preserve">  </v>
      </c>
      <c r="AD117" s="563" t="str">
        <f>IFERROR(INDEX('V5'!C$300:C$400,MATCH("*"&amp;L117&amp;"*",'V5'!B$300:B$400,0)),"  ")</f>
        <v xml:space="preserve">  </v>
      </c>
      <c r="AE117" s="563" t="str">
        <f>IFERROR(INDEX('V6'!C$300:C$400,MATCH("*"&amp;L117&amp;"*",'V6'!B$300:B$400,0)),"  ")</f>
        <v xml:space="preserve">  </v>
      </c>
      <c r="AF117" s="563" t="str">
        <f>IFERROR(INDEX('V7'!C$300:C$400,MATCH("*"&amp;L117&amp;"*",'V7'!B$300:B$400,0)),"  ")</f>
        <v xml:space="preserve">  </v>
      </c>
      <c r="AG117" s="563" t="str">
        <f>IFERROR(INDEX('V8'!C$300:C$400,MATCH("*"&amp;L117&amp;"*",'V8'!B$300:B$400,0)),"  ")</f>
        <v xml:space="preserve">  </v>
      </c>
      <c r="AH117" s="563" t="str">
        <f>IFERROR(INDEX('V9'!C$300:C$400,MATCH("*"&amp;L117&amp;"*",'V9'!B$300:B$400,0)),"  ")</f>
        <v xml:space="preserve">  </v>
      </c>
      <c r="AI117" s="563" t="str">
        <f>IFERROR(INDEX('V10'!C$300:C$400,MATCH("*"&amp;L117&amp;"*",'V10'!B$300:B$400,0)),"  ")</f>
        <v xml:space="preserve">  </v>
      </c>
      <c r="AJ117" s="564" t="str">
        <f t="shared" si="150"/>
        <v/>
      </c>
      <c r="AK117" s="565">
        <f t="shared" si="151"/>
        <v>0</v>
      </c>
      <c r="AL117" s="566" t="str">
        <f t="shared" si="152"/>
        <v/>
      </c>
      <c r="AM117" s="567" t="str">
        <f>IFERROR(INDEX(#REF!,MATCH("*"&amp;L117&amp;"*",#REF!,0)),"  ")</f>
        <v xml:space="preserve">  </v>
      </c>
      <c r="AN117" s="568">
        <f t="shared" si="153"/>
        <v>0</v>
      </c>
      <c r="AO117" s="469">
        <f t="shared" si="154"/>
        <v>0</v>
      </c>
      <c r="AP117" s="469">
        <f t="shared" si="155"/>
        <v>0</v>
      </c>
      <c r="AQ117" s="569"/>
      <c r="AR117" s="569"/>
      <c r="AS117" s="569"/>
      <c r="AT117" s="570">
        <f t="shared" si="156"/>
        <v>1E-4</v>
      </c>
      <c r="AU117" s="571">
        <f t="shared" si="157"/>
        <v>1E-4</v>
      </c>
      <c r="AV117" s="571">
        <f t="shared" si="158"/>
        <v>2.0000000000000001E-4</v>
      </c>
      <c r="AW117" s="571">
        <f t="shared" si="159"/>
        <v>2.9999999999999997E-4</v>
      </c>
      <c r="AX117" s="571">
        <f t="shared" si="160"/>
        <v>4.0000000000000002E-4</v>
      </c>
      <c r="AY117" s="571">
        <f t="shared" si="161"/>
        <v>5.0000000000000001E-4</v>
      </c>
      <c r="AZ117" s="571">
        <f t="shared" si="162"/>
        <v>5.9999999999999995E-4</v>
      </c>
      <c r="BA117" s="571">
        <f t="shared" si="163"/>
        <v>6.9999999999999999E-4</v>
      </c>
      <c r="BB117" s="571">
        <f t="shared" si="164"/>
        <v>8.0000000000000004E-4</v>
      </c>
      <c r="BC117" s="571">
        <f t="shared" si="165"/>
        <v>8.9999999999999998E-4</v>
      </c>
      <c r="BD117" s="571">
        <f t="shared" si="166"/>
        <v>1E-3</v>
      </c>
      <c r="BE117" s="569"/>
      <c r="BF117" s="569"/>
      <c r="BG117" s="569"/>
      <c r="BH117" s="569"/>
      <c r="BI117" s="377" t="e">
        <f t="shared" si="167"/>
        <v>#VALUE!</v>
      </c>
      <c r="BJ117" s="377" t="e">
        <f t="shared" si="168"/>
        <v>#VALUE!</v>
      </c>
      <c r="BK117" s="377" t="e">
        <f t="shared" si="169"/>
        <v>#VALUE!</v>
      </c>
      <c r="BL117" s="377" t="e">
        <f t="shared" si="170"/>
        <v>#VALUE!</v>
      </c>
      <c r="BM117" s="377" t="e">
        <f t="shared" si="171"/>
        <v>#VALUE!</v>
      </c>
      <c r="BN117" s="377" t="e">
        <f t="shared" si="172"/>
        <v>#VALUE!</v>
      </c>
      <c r="BO117" s="377" t="e">
        <f t="shared" si="173"/>
        <v>#VALUE!</v>
      </c>
      <c r="BP117" s="377" t="e">
        <f t="shared" si="174"/>
        <v>#VALUE!</v>
      </c>
      <c r="BQ117" s="377" t="e">
        <f t="shared" si="175"/>
        <v>#VALUE!</v>
      </c>
      <c r="BR117" s="377" t="e">
        <f t="shared" si="176"/>
        <v>#VALUE!</v>
      </c>
    </row>
    <row r="118" spans="1:70" ht="12.75" hidden="1" customHeight="1" x14ac:dyDescent="0.2">
      <c r="A118" s="484" t="str">
        <f t="shared" si="133"/>
        <v/>
      </c>
      <c r="B118" s="485">
        <f t="shared" si="134"/>
        <v>-886</v>
      </c>
      <c r="C118" s="486" t="str">
        <f t="shared" si="135"/>
        <v/>
      </c>
      <c r="D118" s="487">
        <f t="shared" si="136"/>
        <v>-886</v>
      </c>
      <c r="E118" s="488" t="str">
        <f t="shared" si="137"/>
        <v/>
      </c>
      <c r="F118" s="489">
        <f t="shared" si="138"/>
        <v>114</v>
      </c>
      <c r="G118" s="490" t="str">
        <f t="shared" si="139"/>
        <v/>
      </c>
      <c r="H118" s="489">
        <f t="shared" si="140"/>
        <v>-886</v>
      </c>
      <c r="I118" s="491" t="str">
        <f t="shared" si="141"/>
        <v/>
      </c>
      <c r="J118" s="554">
        <f t="shared" si="142"/>
        <v>114</v>
      </c>
      <c r="K118" s="526" t="str">
        <f t="shared" si="143"/>
        <v/>
      </c>
      <c r="L118" s="555" t="s">
        <v>253</v>
      </c>
      <c r="M118" s="556"/>
      <c r="N118" s="557" t="s">
        <v>168</v>
      </c>
      <c r="O118" s="579" t="s">
        <v>190</v>
      </c>
      <c r="P118" s="559"/>
      <c r="Q118" s="560"/>
      <c r="R118" s="539">
        <f>(IF(COUNT(Z118,AA118,AB118,AC118,AD118,AE118,AF118,AG118,AH118,AI118)&lt;10,SUM(Z118,AA118,AB118,AC118,AD118,AE118,AF118,AG118,AH118,AI118),SUM(LARGE((Z118,AA118,AB118,AC118,AD118,AE118,AF118,AG118,AH118,AI118),{1;2;3;4;5;6;7;8;9}))))</f>
        <v>0</v>
      </c>
      <c r="S118" s="561" t="str">
        <f>INDEX([1]ETAPP!B$1:B$32,MATCH(COUNTIF(BI118:BR118,1),[1]ETAPP!A$1:A$32,0))&amp;INDEX([1]ETAPP!B$1:B$32,MATCH(COUNTIF(BI118:BR118,2),[1]ETAPP!A$1:A$32,0))&amp;INDEX([1]ETAPP!B$1:B$32,MATCH(COUNTIF(BI118:BR118,3),[1]ETAPP!A$1:A$32,0))&amp;INDEX([1]ETAPP!B$1:B$32,MATCH(COUNTIF(BI118:BR118,4),[1]ETAPP!A$1:A$32,0))&amp;INDEX([1]ETAPP!B$1:B$32,MATCH(COUNTIF(BI118:BR118,5),[1]ETAPP!A$1:A$32,0))&amp;INDEX([1]ETAPP!B$1:B$32,MATCH(COUNTIF(BI118:BR118,6),[1]ETAPP!A$1:A$32,0))&amp;INDEX([1]ETAPP!B$1:B$32,MATCH(COUNTIF(BI118:BR118,7),[1]ETAPP!A$1:A$32,0))&amp;INDEX([1]ETAPP!B$1:B$32,MATCH(COUNTIF(BI118:BR118,8),[1]ETAPP!A$1:A$32,0))&amp;INDEX([1]ETAPP!B$1:B$32,MATCH(COUNTIF(BI118:BR118,9),[1]ETAPP!A$1:A$32,0))&amp;INDEX([1]ETAPP!B$1:B$32,MATCH(COUNTIF(BI118:BR118,10),[1]ETAPP!A$1:A$32,0))&amp;INDEX([1]ETAPP!B$1:B$32,MATCH(COUNTIF(BI118:BR118,11),[1]ETAPP!A$1:A$32,0))&amp;INDEX([1]ETAPP!B$1:B$32,MATCH(COUNTIF(BI118:BR118,12),[1]ETAPP!A$1:A$32,0))&amp;INDEX([1]ETAPP!B$1:B$32,MATCH(COUNTIF(BI118:BR118,13),[1]ETAPP!A$1:A$32,0))&amp;INDEX([1]ETAPP!B$1:B$32,MATCH(COUNTIF(BI118:BR118,14),[1]ETAPP!A$1:A$32,0))&amp;INDEX([1]ETAPP!B$1:B$32,MATCH(COUNTIF(BI118:BR118,15),[1]ETAPP!A$1:A$32,0))&amp;INDEX([1]ETAPP!B$1:B$32,MATCH(COUNTIF(BI118:BR118,16),[1]ETAPP!A$1:A$32,0))&amp;INDEX([1]ETAPP!B$1:B$32,MATCH(COUNTIF(BI118:BR118,17),[1]ETAPP!A$1:A$32,0))&amp;INDEX([1]ETAPP!B$1:B$32,MATCH(COUNTIF(BI118:BR118,18),[1]ETAPP!A$1:A$32,0))&amp;INDEX([1]ETAPP!B$1:B$32,MATCH(COUNTIF(BI118:BR118,19),[1]ETAPP!A$1:A$32,0))&amp;INDEX([1]ETAPP!B$1:B$32,MATCH(COUNTIF(BI118:BR118,20),[1]ETAPP!A$1:A$32,0))&amp;INDEX([1]ETAPP!B$1:B$32,MATCH(COUNTIF(BI118:BR118,21),[1]ETAPP!A$1:A$32,0))</f>
        <v>000000000000000000000</v>
      </c>
      <c r="T118" s="561" t="str">
        <f t="shared" si="144"/>
        <v>000,0-000000000000000000000</v>
      </c>
      <c r="U118" s="561">
        <f t="shared" si="145"/>
        <v>114</v>
      </c>
      <c r="V118" s="561">
        <f t="shared" si="146"/>
        <v>3</v>
      </c>
      <c r="W118" s="561" t="str">
        <f t="shared" si="147"/>
        <v>000,0-000000000000000000000-003</v>
      </c>
      <c r="X118" s="561">
        <f t="shared" si="148"/>
        <v>112</v>
      </c>
      <c r="Y118" s="562">
        <f t="shared" si="149"/>
        <v>3</v>
      </c>
      <c r="Z118" s="563" t="str">
        <f>IFERROR(INDEX('V1'!C$300:C$400,MATCH("*"&amp;L118&amp;"*",'V1'!B$300:B$400,0)),"  ")</f>
        <v xml:space="preserve">  </v>
      </c>
      <c r="AA118" s="563" t="str">
        <f>IFERROR(INDEX('V2'!C$300:C$400,MATCH("*"&amp;L118&amp;"*",'V2'!B$300:B$400,0)),"  ")</f>
        <v xml:space="preserve">  </v>
      </c>
      <c r="AB118" s="563" t="str">
        <f>IFERROR(INDEX('V3'!C$300:C$400,MATCH("*"&amp;L118&amp;"*",'V3'!B$300:B$400,0)),"  ")</f>
        <v xml:space="preserve">  </v>
      </c>
      <c r="AC118" s="563" t="str">
        <f>IFERROR(INDEX('V4'!C$300:C$400,MATCH("*"&amp;L118&amp;"*",'V4'!B$300:B$400,0)),"  ")</f>
        <v xml:space="preserve">  </v>
      </c>
      <c r="AD118" s="563" t="str">
        <f>IFERROR(INDEX('V5'!C$300:C$400,MATCH("*"&amp;L118&amp;"*",'V5'!B$300:B$400,0)),"  ")</f>
        <v xml:space="preserve">  </v>
      </c>
      <c r="AE118" s="563" t="str">
        <f>IFERROR(INDEX('V6'!C$300:C$400,MATCH("*"&amp;L118&amp;"*",'V6'!B$300:B$400,0)),"  ")</f>
        <v xml:space="preserve">  </v>
      </c>
      <c r="AF118" s="563" t="str">
        <f>IFERROR(INDEX('V7'!C$300:C$400,MATCH("*"&amp;L118&amp;"*",'V7'!B$300:B$400,0)),"  ")</f>
        <v xml:space="preserve">  </v>
      </c>
      <c r="AG118" s="563" t="str">
        <f>IFERROR(INDEX('V8'!C$300:C$400,MATCH("*"&amp;L118&amp;"*",'V8'!B$300:B$400,0)),"  ")</f>
        <v xml:space="preserve">  </v>
      </c>
      <c r="AH118" s="563" t="str">
        <f>IFERROR(INDEX('V9'!C$300:C$400,MATCH("*"&amp;L118&amp;"*",'V9'!B$300:B$400,0)),"  ")</f>
        <v xml:space="preserve">  </v>
      </c>
      <c r="AI118" s="563" t="str">
        <f>IFERROR(INDEX('V10'!C$300:C$400,MATCH("*"&amp;L118&amp;"*",'V10'!B$300:B$400,0)),"  ")</f>
        <v xml:space="preserve">  </v>
      </c>
      <c r="AJ118" s="564" t="str">
        <f t="shared" si="150"/>
        <v/>
      </c>
      <c r="AK118" s="565">
        <f t="shared" si="151"/>
        <v>0</v>
      </c>
      <c r="AL118" s="566" t="str">
        <f t="shared" si="152"/>
        <v/>
      </c>
      <c r="AM118" s="567" t="str">
        <f>IFERROR(INDEX(#REF!,MATCH("*"&amp;L118&amp;"*",#REF!,0)),"  ")</f>
        <v xml:space="preserve">  </v>
      </c>
      <c r="AN118" s="568">
        <f t="shared" si="153"/>
        <v>0</v>
      </c>
      <c r="AO118" s="469">
        <f t="shared" si="154"/>
        <v>0</v>
      </c>
      <c r="AP118" s="469">
        <f t="shared" si="155"/>
        <v>0</v>
      </c>
      <c r="AQ118" s="569"/>
      <c r="AR118" s="569"/>
      <c r="AS118" s="569"/>
      <c r="AT118" s="570">
        <f t="shared" si="156"/>
        <v>1E-4</v>
      </c>
      <c r="AU118" s="571">
        <f t="shared" si="157"/>
        <v>1E-4</v>
      </c>
      <c r="AV118" s="571">
        <f t="shared" si="158"/>
        <v>2.0000000000000001E-4</v>
      </c>
      <c r="AW118" s="571">
        <f t="shared" si="159"/>
        <v>2.9999999999999997E-4</v>
      </c>
      <c r="AX118" s="571">
        <f t="shared" si="160"/>
        <v>4.0000000000000002E-4</v>
      </c>
      <c r="AY118" s="571">
        <f t="shared" si="161"/>
        <v>5.0000000000000001E-4</v>
      </c>
      <c r="AZ118" s="571">
        <f t="shared" si="162"/>
        <v>5.9999999999999995E-4</v>
      </c>
      <c r="BA118" s="571">
        <f t="shared" si="163"/>
        <v>6.9999999999999999E-4</v>
      </c>
      <c r="BB118" s="571">
        <f t="shared" si="164"/>
        <v>8.0000000000000004E-4</v>
      </c>
      <c r="BC118" s="571">
        <f t="shared" si="165"/>
        <v>8.9999999999999998E-4</v>
      </c>
      <c r="BD118" s="571">
        <f t="shared" si="166"/>
        <v>1E-3</v>
      </c>
      <c r="BE118" s="569"/>
      <c r="BF118" s="569"/>
      <c r="BG118" s="569"/>
      <c r="BH118" s="569"/>
      <c r="BI118" s="377" t="e">
        <f t="shared" si="167"/>
        <v>#VALUE!</v>
      </c>
      <c r="BJ118" s="377" t="e">
        <f t="shared" si="168"/>
        <v>#VALUE!</v>
      </c>
      <c r="BK118" s="377" t="e">
        <f t="shared" si="169"/>
        <v>#VALUE!</v>
      </c>
      <c r="BL118" s="377" t="e">
        <f t="shared" si="170"/>
        <v>#VALUE!</v>
      </c>
      <c r="BM118" s="377" t="e">
        <f t="shared" si="171"/>
        <v>#VALUE!</v>
      </c>
      <c r="BN118" s="377" t="e">
        <f t="shared" si="172"/>
        <v>#VALUE!</v>
      </c>
      <c r="BO118" s="377" t="e">
        <f t="shared" si="173"/>
        <v>#VALUE!</v>
      </c>
      <c r="BP118" s="377" t="e">
        <f t="shared" si="174"/>
        <v>#VALUE!</v>
      </c>
      <c r="BQ118" s="377" t="e">
        <f t="shared" si="175"/>
        <v>#VALUE!</v>
      </c>
      <c r="BR118" s="377" t="e">
        <f t="shared" si="176"/>
        <v>#VALUE!</v>
      </c>
    </row>
    <row r="119" spans="1:70" ht="12.75" hidden="1" customHeight="1" x14ac:dyDescent="0.2">
      <c r="A119" s="484" t="str">
        <f t="shared" si="133"/>
        <v/>
      </c>
      <c r="B119" s="485">
        <f t="shared" si="134"/>
        <v>-886</v>
      </c>
      <c r="C119" s="486" t="str">
        <f t="shared" si="135"/>
        <v/>
      </c>
      <c r="D119" s="487">
        <f t="shared" si="136"/>
        <v>-886</v>
      </c>
      <c r="E119" s="488" t="str">
        <f t="shared" si="137"/>
        <v/>
      </c>
      <c r="F119" s="489">
        <f t="shared" si="138"/>
        <v>114</v>
      </c>
      <c r="G119" s="490" t="str">
        <f t="shared" si="139"/>
        <v/>
      </c>
      <c r="H119" s="489">
        <f t="shared" si="140"/>
        <v>-886</v>
      </c>
      <c r="I119" s="491" t="str">
        <f t="shared" si="141"/>
        <v/>
      </c>
      <c r="J119" s="554">
        <f t="shared" si="142"/>
        <v>-886</v>
      </c>
      <c r="K119" s="526" t="str">
        <f t="shared" si="143"/>
        <v/>
      </c>
      <c r="L119" s="573" t="s">
        <v>203</v>
      </c>
      <c r="M119" s="556"/>
      <c r="N119" s="557" t="str">
        <f>IF(M119="","m","")</f>
        <v>m</v>
      </c>
      <c r="O119" s="558"/>
      <c r="P119" s="559"/>
      <c r="Q119" s="560" t="s">
        <v>270</v>
      </c>
      <c r="R119" s="539">
        <f>(IF(COUNT(Z119,AA119,AB119,AC119,AD119,AE119,AF119,AG119,AH119,AI119)&lt;10,SUM(Z119,AA119,AB119,AC119,AD119,AE119,AF119,AG119,AH119,AI119),SUM(LARGE((Z119,AA119,AB119,AC119,AD119,AE119,AF119,AG119,AH119,AI119),{1;2;3;4;5;6;7;8;9}))))</f>
        <v>0</v>
      </c>
      <c r="S119" s="561" t="str">
        <f>INDEX([1]ETAPP!B$1:B$32,MATCH(COUNTIF(BI119:BR119,1),[1]ETAPP!A$1:A$32,0))&amp;INDEX([1]ETAPP!B$1:B$32,MATCH(COUNTIF(BI119:BR119,2),[1]ETAPP!A$1:A$32,0))&amp;INDEX([1]ETAPP!B$1:B$32,MATCH(COUNTIF(BI119:BR119,3),[1]ETAPP!A$1:A$32,0))&amp;INDEX([1]ETAPP!B$1:B$32,MATCH(COUNTIF(BI119:BR119,4),[1]ETAPP!A$1:A$32,0))&amp;INDEX([1]ETAPP!B$1:B$32,MATCH(COUNTIF(BI119:BR119,5),[1]ETAPP!A$1:A$32,0))&amp;INDEX([1]ETAPP!B$1:B$32,MATCH(COUNTIF(BI119:BR119,6),[1]ETAPP!A$1:A$32,0))&amp;INDEX([1]ETAPP!B$1:B$32,MATCH(COUNTIF(BI119:BR119,7),[1]ETAPP!A$1:A$32,0))&amp;INDEX([1]ETAPP!B$1:B$32,MATCH(COUNTIF(BI119:BR119,8),[1]ETAPP!A$1:A$32,0))&amp;INDEX([1]ETAPP!B$1:B$32,MATCH(COUNTIF(BI119:BR119,9),[1]ETAPP!A$1:A$32,0))&amp;INDEX([1]ETAPP!B$1:B$32,MATCH(COUNTIF(BI119:BR119,10),[1]ETAPP!A$1:A$32,0))&amp;INDEX([1]ETAPP!B$1:B$32,MATCH(COUNTIF(BI119:BR119,11),[1]ETAPP!A$1:A$32,0))&amp;INDEX([1]ETAPP!B$1:B$32,MATCH(COUNTIF(BI119:BR119,12),[1]ETAPP!A$1:A$32,0))&amp;INDEX([1]ETAPP!B$1:B$32,MATCH(COUNTIF(BI119:BR119,13),[1]ETAPP!A$1:A$32,0))&amp;INDEX([1]ETAPP!B$1:B$32,MATCH(COUNTIF(BI119:BR119,14),[1]ETAPP!A$1:A$32,0))&amp;INDEX([1]ETAPP!B$1:B$32,MATCH(COUNTIF(BI119:BR119,15),[1]ETAPP!A$1:A$32,0))&amp;INDEX([1]ETAPP!B$1:B$32,MATCH(COUNTIF(BI119:BR119,16),[1]ETAPP!A$1:A$32,0))&amp;INDEX([1]ETAPP!B$1:B$32,MATCH(COUNTIF(BI119:BR119,17),[1]ETAPP!A$1:A$32,0))&amp;INDEX([1]ETAPP!B$1:B$32,MATCH(COUNTIF(BI119:BR119,18),[1]ETAPP!A$1:A$32,0))&amp;INDEX([1]ETAPP!B$1:B$32,MATCH(COUNTIF(BI119:BR119,19),[1]ETAPP!A$1:A$32,0))&amp;INDEX([1]ETAPP!B$1:B$32,MATCH(COUNTIF(BI119:BR119,20),[1]ETAPP!A$1:A$32,0))&amp;INDEX([1]ETAPP!B$1:B$32,MATCH(COUNTIF(BI119:BR119,21),[1]ETAPP!A$1:A$32,0))</f>
        <v>000000000000000000000</v>
      </c>
      <c r="T119" s="561" t="str">
        <f t="shared" si="144"/>
        <v>000,0-000000000000000000000</v>
      </c>
      <c r="U119" s="561">
        <f t="shared" si="145"/>
        <v>114</v>
      </c>
      <c r="V119" s="561">
        <f t="shared" si="146"/>
        <v>2</v>
      </c>
      <c r="W119" s="561" t="str">
        <f t="shared" si="147"/>
        <v>000,0-000000000000000000000-002</v>
      </c>
      <c r="X119" s="561">
        <f t="shared" si="148"/>
        <v>113</v>
      </c>
      <c r="Y119" s="562">
        <f t="shared" si="149"/>
        <v>2</v>
      </c>
      <c r="Z119" s="563" t="str">
        <f>IFERROR(INDEX('V1'!C$300:C$400,MATCH("*"&amp;L119&amp;"*",'V1'!B$300:B$400,0)),"  ")</f>
        <v xml:space="preserve">  </v>
      </c>
      <c r="AA119" s="563" t="str">
        <f>IFERROR(INDEX('V2'!C$300:C$400,MATCH("*"&amp;L119&amp;"*",'V2'!B$300:B$400,0)),"  ")</f>
        <v xml:space="preserve">  </v>
      </c>
      <c r="AB119" s="563" t="str">
        <f>IFERROR(INDEX('V3'!C$300:C$400,MATCH("*"&amp;L119&amp;"*",'V3'!B$300:B$400,0)),"  ")</f>
        <v xml:space="preserve">  </v>
      </c>
      <c r="AC119" s="563" t="str">
        <f>IFERROR(INDEX('V4'!C$300:C$400,MATCH("*"&amp;L119&amp;"*",'V4'!B$300:B$400,0)),"  ")</f>
        <v xml:space="preserve">  </v>
      </c>
      <c r="AD119" s="563" t="str">
        <f>IFERROR(INDEX('V5'!C$300:C$400,MATCH("*"&amp;L119&amp;"*",'V5'!B$300:B$400,0)),"  ")</f>
        <v xml:space="preserve">  </v>
      </c>
      <c r="AE119" s="563" t="str">
        <f>IFERROR(INDEX('V6'!C$300:C$400,MATCH("*"&amp;L119&amp;"*",'V6'!B$300:B$400,0)),"  ")</f>
        <v xml:space="preserve">  </v>
      </c>
      <c r="AF119" s="563" t="str">
        <f>IFERROR(INDEX('V7'!C$300:C$400,MATCH("*"&amp;L119&amp;"*",'V7'!B$300:B$400,0)),"  ")</f>
        <v xml:space="preserve">  </v>
      </c>
      <c r="AG119" s="563" t="str">
        <f>IFERROR(INDEX('V8'!C$300:C$400,MATCH("*"&amp;L119&amp;"*",'V8'!B$300:B$400,0)),"  ")</f>
        <v xml:space="preserve">  </v>
      </c>
      <c r="AH119" s="563" t="str">
        <f>IFERROR(INDEX('V9'!C$300:C$400,MATCH("*"&amp;L119&amp;"*",'V9'!B$300:B$400,0)),"  ")</f>
        <v xml:space="preserve">  </v>
      </c>
      <c r="AI119" s="563" t="str">
        <f>IFERROR(INDEX('V10'!C$300:C$400,MATCH("*"&amp;L119&amp;"*",'V10'!B$300:B$400,0)),"  ")</f>
        <v xml:space="preserve">  </v>
      </c>
      <c r="AJ119" s="564" t="str">
        <f t="shared" si="150"/>
        <v/>
      </c>
      <c r="AK119" s="565">
        <f t="shared" si="151"/>
        <v>0</v>
      </c>
      <c r="AL119" s="566" t="str">
        <f t="shared" si="152"/>
        <v/>
      </c>
      <c r="AM119" s="567" t="str">
        <f>IFERROR(INDEX(#REF!,MATCH("*"&amp;L119&amp;"*",#REF!,0)),"  ")</f>
        <v xml:space="preserve">  </v>
      </c>
      <c r="AN119" s="568">
        <f t="shared" si="153"/>
        <v>0</v>
      </c>
      <c r="AO119" s="469">
        <f t="shared" si="154"/>
        <v>0</v>
      </c>
      <c r="AP119" s="469">
        <f t="shared" si="155"/>
        <v>0</v>
      </c>
      <c r="AQ119" s="569"/>
      <c r="AR119" s="569"/>
      <c r="AS119" s="569"/>
      <c r="AT119" s="570">
        <f t="shared" si="156"/>
        <v>1E-4</v>
      </c>
      <c r="AU119" s="571">
        <f t="shared" si="157"/>
        <v>1E-4</v>
      </c>
      <c r="AV119" s="571">
        <f t="shared" si="158"/>
        <v>2.0000000000000001E-4</v>
      </c>
      <c r="AW119" s="571">
        <f t="shared" si="159"/>
        <v>2.9999999999999997E-4</v>
      </c>
      <c r="AX119" s="571">
        <f t="shared" si="160"/>
        <v>4.0000000000000002E-4</v>
      </c>
      <c r="AY119" s="571">
        <f t="shared" si="161"/>
        <v>5.0000000000000001E-4</v>
      </c>
      <c r="AZ119" s="571">
        <f t="shared" si="162"/>
        <v>5.9999999999999995E-4</v>
      </c>
      <c r="BA119" s="571">
        <f t="shared" si="163"/>
        <v>6.9999999999999999E-4</v>
      </c>
      <c r="BB119" s="571">
        <f t="shared" si="164"/>
        <v>8.0000000000000004E-4</v>
      </c>
      <c r="BC119" s="571">
        <f t="shared" si="165"/>
        <v>8.9999999999999998E-4</v>
      </c>
      <c r="BD119" s="571">
        <f t="shared" si="166"/>
        <v>1E-3</v>
      </c>
      <c r="BE119" s="569"/>
      <c r="BF119" s="569"/>
      <c r="BG119" s="569"/>
      <c r="BH119" s="569"/>
      <c r="BI119" s="377" t="e">
        <f t="shared" si="167"/>
        <v>#VALUE!</v>
      </c>
      <c r="BJ119" s="377" t="e">
        <f t="shared" si="168"/>
        <v>#VALUE!</v>
      </c>
      <c r="BK119" s="377" t="e">
        <f t="shared" si="169"/>
        <v>#VALUE!</v>
      </c>
      <c r="BL119" s="377" t="e">
        <f t="shared" si="170"/>
        <v>#VALUE!</v>
      </c>
      <c r="BM119" s="377" t="e">
        <f t="shared" si="171"/>
        <v>#VALUE!</v>
      </c>
      <c r="BN119" s="377" t="e">
        <f t="shared" si="172"/>
        <v>#VALUE!</v>
      </c>
      <c r="BO119" s="377" t="e">
        <f t="shared" si="173"/>
        <v>#VALUE!</v>
      </c>
      <c r="BP119" s="377" t="e">
        <f t="shared" si="174"/>
        <v>#VALUE!</v>
      </c>
      <c r="BQ119" s="377" t="e">
        <f t="shared" si="175"/>
        <v>#VALUE!</v>
      </c>
      <c r="BR119" s="377" t="e">
        <f t="shared" si="176"/>
        <v>#VALUE!</v>
      </c>
    </row>
    <row r="120" spans="1:70" ht="12.75" hidden="1" customHeight="1" x14ac:dyDescent="0.2">
      <c r="A120" s="484" t="str">
        <f t="shared" si="133"/>
        <v/>
      </c>
      <c r="B120" s="485">
        <f t="shared" si="134"/>
        <v>-886</v>
      </c>
      <c r="C120" s="486" t="str">
        <f t="shared" si="135"/>
        <v/>
      </c>
      <c r="D120" s="487">
        <f t="shared" si="136"/>
        <v>114</v>
      </c>
      <c r="E120" s="488" t="str">
        <f t="shared" si="137"/>
        <v/>
      </c>
      <c r="F120" s="489">
        <f t="shared" si="138"/>
        <v>114</v>
      </c>
      <c r="G120" s="490" t="str">
        <f t="shared" si="139"/>
        <v/>
      </c>
      <c r="H120" s="489">
        <f t="shared" si="140"/>
        <v>-886</v>
      </c>
      <c r="I120" s="491" t="str">
        <f t="shared" si="141"/>
        <v/>
      </c>
      <c r="J120" s="554">
        <f t="shared" si="142"/>
        <v>-886</v>
      </c>
      <c r="K120" s="526" t="str">
        <f t="shared" si="143"/>
        <v/>
      </c>
      <c r="L120" s="572" t="s">
        <v>254</v>
      </c>
      <c r="M120" s="556"/>
      <c r="N120" s="557" t="str">
        <f>IF(M120="","m","")</f>
        <v>m</v>
      </c>
      <c r="O120" s="558"/>
      <c r="P120" s="559" t="s">
        <v>269</v>
      </c>
      <c r="Q120" s="560"/>
      <c r="R120" s="539">
        <f>(IF(COUNT(Z120,AA120,AB120,AC120,AD120,AE120,AF120,AG120,AH120,AI120)&lt;10,SUM(Z120,AA120,AB120,AC120,AD120,AE120,AF120,AG120,AH120,AI120),SUM(LARGE((Z120,AA120,AB120,AC120,AD120,AE120,AF120,AG120,AH120,AI120),{1;2;3;4;5;6;7;8;9}))))</f>
        <v>0</v>
      </c>
      <c r="S120" s="561" t="str">
        <f>INDEX([1]ETAPP!B$1:B$32,MATCH(COUNTIF(BI120:BR120,1),[1]ETAPP!A$1:A$32,0))&amp;INDEX([1]ETAPP!B$1:B$32,MATCH(COUNTIF(BI120:BR120,2),[1]ETAPP!A$1:A$32,0))&amp;INDEX([1]ETAPP!B$1:B$32,MATCH(COUNTIF(BI120:BR120,3),[1]ETAPP!A$1:A$32,0))&amp;INDEX([1]ETAPP!B$1:B$32,MATCH(COUNTIF(BI120:BR120,4),[1]ETAPP!A$1:A$32,0))&amp;INDEX([1]ETAPP!B$1:B$32,MATCH(COUNTIF(BI120:BR120,5),[1]ETAPP!A$1:A$32,0))&amp;INDEX([1]ETAPP!B$1:B$32,MATCH(COUNTIF(BI120:BR120,6),[1]ETAPP!A$1:A$32,0))&amp;INDEX([1]ETAPP!B$1:B$32,MATCH(COUNTIF(BI120:BR120,7),[1]ETAPP!A$1:A$32,0))&amp;INDEX([1]ETAPP!B$1:B$32,MATCH(COUNTIF(BI120:BR120,8),[1]ETAPP!A$1:A$32,0))&amp;INDEX([1]ETAPP!B$1:B$32,MATCH(COUNTIF(BI120:BR120,9),[1]ETAPP!A$1:A$32,0))&amp;INDEX([1]ETAPP!B$1:B$32,MATCH(COUNTIF(BI120:BR120,10),[1]ETAPP!A$1:A$32,0))&amp;INDEX([1]ETAPP!B$1:B$32,MATCH(COUNTIF(BI120:BR120,11),[1]ETAPP!A$1:A$32,0))&amp;INDEX([1]ETAPP!B$1:B$32,MATCH(COUNTIF(BI120:BR120,12),[1]ETAPP!A$1:A$32,0))&amp;INDEX([1]ETAPP!B$1:B$32,MATCH(COUNTIF(BI120:BR120,13),[1]ETAPP!A$1:A$32,0))&amp;INDEX([1]ETAPP!B$1:B$32,MATCH(COUNTIF(BI120:BR120,14),[1]ETAPP!A$1:A$32,0))&amp;INDEX([1]ETAPP!B$1:B$32,MATCH(COUNTIF(BI120:BR120,15),[1]ETAPP!A$1:A$32,0))&amp;INDEX([1]ETAPP!B$1:B$32,MATCH(COUNTIF(BI120:BR120,16),[1]ETAPP!A$1:A$32,0))&amp;INDEX([1]ETAPP!B$1:B$32,MATCH(COUNTIF(BI120:BR120,17),[1]ETAPP!A$1:A$32,0))&amp;INDEX([1]ETAPP!B$1:B$32,MATCH(COUNTIF(BI120:BR120,18),[1]ETAPP!A$1:A$32,0))&amp;INDEX([1]ETAPP!B$1:B$32,MATCH(COUNTIF(BI120:BR120,19),[1]ETAPP!A$1:A$32,0))&amp;INDEX([1]ETAPP!B$1:B$32,MATCH(COUNTIF(BI120:BR120,20),[1]ETAPP!A$1:A$32,0))&amp;INDEX([1]ETAPP!B$1:B$32,MATCH(COUNTIF(BI120:BR120,21),[1]ETAPP!A$1:A$32,0))</f>
        <v>000000000000000000000</v>
      </c>
      <c r="T120" s="561" t="str">
        <f t="shared" si="144"/>
        <v>000,0-000000000000000000000</v>
      </c>
      <c r="U120" s="561">
        <f t="shared" si="145"/>
        <v>114</v>
      </c>
      <c r="V120" s="561">
        <f t="shared" si="146"/>
        <v>1</v>
      </c>
      <c r="W120" s="561" t="str">
        <f t="shared" si="147"/>
        <v>000,0-000000000000000000000-001</v>
      </c>
      <c r="X120" s="561">
        <f t="shared" si="148"/>
        <v>114</v>
      </c>
      <c r="Y120" s="562">
        <f t="shared" si="149"/>
        <v>1</v>
      </c>
      <c r="Z120" s="563" t="str">
        <f>IFERROR(INDEX('V1'!C$300:C$400,MATCH("*"&amp;L120&amp;"*",'V1'!B$300:B$400,0)),"  ")</f>
        <v xml:space="preserve">  </v>
      </c>
      <c r="AA120" s="563" t="str">
        <f>IFERROR(INDEX('V2'!C$300:C$400,MATCH("*"&amp;L120&amp;"*",'V2'!B$300:B$400,0)),"  ")</f>
        <v xml:space="preserve">  </v>
      </c>
      <c r="AB120" s="563" t="str">
        <f>IFERROR(INDEX('V3'!C$300:C$400,MATCH("*"&amp;L120&amp;"*",'V3'!B$300:B$400,0)),"  ")</f>
        <v xml:space="preserve">  </v>
      </c>
      <c r="AC120" s="563" t="str">
        <f>IFERROR(INDEX('V4'!C$300:C$400,MATCH("*"&amp;L120&amp;"*",'V4'!B$300:B$400,0)),"  ")</f>
        <v xml:space="preserve">  </v>
      </c>
      <c r="AD120" s="563" t="str">
        <f>IFERROR(INDEX('V5'!C$300:C$400,MATCH("*"&amp;L120&amp;"*",'V5'!B$300:B$400,0)),"  ")</f>
        <v xml:space="preserve">  </v>
      </c>
      <c r="AE120" s="563" t="str">
        <f>IFERROR(INDEX('V6'!C$300:C$400,MATCH("*"&amp;L120&amp;"*",'V6'!B$300:B$400,0)),"  ")</f>
        <v xml:space="preserve">  </v>
      </c>
      <c r="AF120" s="563" t="str">
        <f>IFERROR(INDEX('V7'!C$300:C$400,MATCH("*"&amp;L120&amp;"*",'V7'!B$300:B$400,0)),"  ")</f>
        <v xml:space="preserve">  </v>
      </c>
      <c r="AG120" s="563" t="str">
        <f>IFERROR(INDEX('V8'!C$300:C$400,MATCH("*"&amp;L120&amp;"*",'V8'!B$300:B$400,0)),"  ")</f>
        <v xml:space="preserve">  </v>
      </c>
      <c r="AH120" s="563" t="str">
        <f>IFERROR(INDEX('V9'!C$300:C$400,MATCH("*"&amp;L120&amp;"*",'V9'!B$300:B$400,0)),"  ")</f>
        <v xml:space="preserve">  </v>
      </c>
      <c r="AI120" s="563" t="str">
        <f>IFERROR(INDEX('V10'!C$300:C$400,MATCH("*"&amp;L120&amp;"*",'V10'!B$300:B$400,0)),"  ")</f>
        <v xml:space="preserve">  </v>
      </c>
      <c r="AJ120" s="564" t="str">
        <f t="shared" si="150"/>
        <v/>
      </c>
      <c r="AK120" s="565">
        <f t="shared" si="151"/>
        <v>0</v>
      </c>
      <c r="AL120" s="566" t="str">
        <f t="shared" si="152"/>
        <v/>
      </c>
      <c r="AM120" s="567" t="str">
        <f>IFERROR(INDEX(#REF!,MATCH("*"&amp;L120&amp;"*",#REF!,0)),"  ")</f>
        <v xml:space="preserve">  </v>
      </c>
      <c r="AN120" s="568">
        <f t="shared" si="153"/>
        <v>0</v>
      </c>
      <c r="AO120" s="469">
        <f t="shared" si="154"/>
        <v>0</v>
      </c>
      <c r="AP120" s="469">
        <f t="shared" si="155"/>
        <v>0</v>
      </c>
      <c r="AQ120" s="569"/>
      <c r="AR120" s="569"/>
      <c r="AS120" s="569"/>
      <c r="AT120" s="570">
        <f t="shared" si="156"/>
        <v>1E-4</v>
      </c>
      <c r="AU120" s="571">
        <f t="shared" si="157"/>
        <v>1E-4</v>
      </c>
      <c r="AV120" s="571">
        <f t="shared" si="158"/>
        <v>2.0000000000000001E-4</v>
      </c>
      <c r="AW120" s="571">
        <f t="shared" si="159"/>
        <v>2.9999999999999997E-4</v>
      </c>
      <c r="AX120" s="571">
        <f t="shared" si="160"/>
        <v>4.0000000000000002E-4</v>
      </c>
      <c r="AY120" s="571">
        <f t="shared" si="161"/>
        <v>5.0000000000000001E-4</v>
      </c>
      <c r="AZ120" s="571">
        <f t="shared" si="162"/>
        <v>5.9999999999999995E-4</v>
      </c>
      <c r="BA120" s="571">
        <f t="shared" si="163"/>
        <v>6.9999999999999999E-4</v>
      </c>
      <c r="BB120" s="571">
        <f t="shared" si="164"/>
        <v>8.0000000000000004E-4</v>
      </c>
      <c r="BC120" s="571">
        <f t="shared" si="165"/>
        <v>8.9999999999999998E-4</v>
      </c>
      <c r="BD120" s="571">
        <f t="shared" si="166"/>
        <v>1E-3</v>
      </c>
      <c r="BE120" s="569"/>
      <c r="BF120" s="569"/>
      <c r="BG120" s="569"/>
      <c r="BH120" s="569"/>
      <c r="BI120" s="377" t="e">
        <f t="shared" si="167"/>
        <v>#VALUE!</v>
      </c>
      <c r="BJ120" s="377" t="e">
        <f t="shared" si="168"/>
        <v>#VALUE!</v>
      </c>
      <c r="BK120" s="377" t="e">
        <f t="shared" si="169"/>
        <v>#VALUE!</v>
      </c>
      <c r="BL120" s="377" t="e">
        <f t="shared" si="170"/>
        <v>#VALUE!</v>
      </c>
      <c r="BM120" s="377" t="e">
        <f t="shared" si="171"/>
        <v>#VALUE!</v>
      </c>
      <c r="BN120" s="377" t="e">
        <f t="shared" si="172"/>
        <v>#VALUE!</v>
      </c>
      <c r="BO120" s="377" t="e">
        <f t="shared" si="173"/>
        <v>#VALUE!</v>
      </c>
      <c r="BP120" s="377" t="e">
        <f t="shared" si="174"/>
        <v>#VALUE!</v>
      </c>
      <c r="BQ120" s="377" t="e">
        <f t="shared" si="175"/>
        <v>#VALUE!</v>
      </c>
      <c r="BR120" s="377" t="e">
        <f t="shared" si="176"/>
        <v>#VALUE!</v>
      </c>
    </row>
    <row r="121" spans="1:70" x14ac:dyDescent="0.2">
      <c r="A121" s="492">
        <f>COUNTIF(A7:A120,"&gt;0")</f>
        <v>36</v>
      </c>
      <c r="B121" s="493"/>
      <c r="C121" s="494">
        <f>COUNTIF(C7:C111,"&gt;0")</f>
        <v>21</v>
      </c>
      <c r="D121" s="493"/>
      <c r="E121" s="495">
        <f>COUNTIF(E7:E111,"&gt;0")</f>
        <v>42</v>
      </c>
      <c r="F121" s="493"/>
      <c r="G121" s="496">
        <f>COUNTIF(G7:G120,"&gt;0")</f>
        <v>10</v>
      </c>
      <c r="H121" s="493"/>
      <c r="I121" s="497">
        <f>COUNTIF(I7:I120,"&gt;0")</f>
        <v>1</v>
      </c>
      <c r="J121" s="493"/>
      <c r="K121" s="493">
        <f>COUNT(K7:K120)</f>
        <v>55</v>
      </c>
      <c r="L121" s="597" t="s">
        <v>255</v>
      </c>
      <c r="M121" s="598">
        <f>COUNTIF(M7:M120,"n")</f>
        <v>32</v>
      </c>
      <c r="N121" s="599">
        <f>COUNTIF(N7:N120,"m")</f>
        <v>76</v>
      </c>
      <c r="O121" s="600">
        <f>COUNTIF(O7:O120,"j")</f>
        <v>12</v>
      </c>
      <c r="P121" s="601">
        <f>COUNTIF(P7:P120,"t")</f>
        <v>36</v>
      </c>
      <c r="Q121" s="602">
        <f>COUNTIF(Q7:Q120,"Viru SK")</f>
        <v>55</v>
      </c>
      <c r="R121" s="603"/>
      <c r="S121" s="603"/>
      <c r="T121" s="603"/>
      <c r="U121" s="603"/>
      <c r="V121" s="603"/>
      <c r="W121" s="603"/>
      <c r="X121" s="603"/>
      <c r="Y121" s="603"/>
      <c r="Z121" s="604">
        <f t="shared" ref="Z121:AI121" si="177">COUNTIF(Z7:Z120,"&gt;0")</f>
        <v>26</v>
      </c>
      <c r="AA121" s="467">
        <f t="shared" si="177"/>
        <v>30</v>
      </c>
      <c r="AB121" s="467">
        <f t="shared" si="177"/>
        <v>30</v>
      </c>
      <c r="AC121" s="467">
        <f t="shared" si="177"/>
        <v>28</v>
      </c>
      <c r="AD121" s="467">
        <f t="shared" si="177"/>
        <v>36</v>
      </c>
      <c r="AE121" s="467">
        <f t="shared" si="177"/>
        <v>33</v>
      </c>
      <c r="AF121" s="467">
        <f t="shared" si="177"/>
        <v>22</v>
      </c>
      <c r="AG121" s="467">
        <f t="shared" si="177"/>
        <v>18</v>
      </c>
      <c r="AH121" s="467">
        <f t="shared" si="177"/>
        <v>29</v>
      </c>
      <c r="AI121" s="467">
        <f t="shared" si="177"/>
        <v>25</v>
      </c>
      <c r="AJ121" s="467"/>
      <c r="AK121" s="467"/>
      <c r="AL121" s="467"/>
      <c r="AM121" s="605">
        <f>COUNTIF(AM7:AM120,"&gt;0")</f>
        <v>0</v>
      </c>
      <c r="AN121" s="465"/>
      <c r="AO121" s="465"/>
      <c r="AP121" s="465"/>
      <c r="AQ121" s="464"/>
      <c r="AT121" s="464"/>
      <c r="AU121" s="464"/>
      <c r="AV121" s="464"/>
      <c r="AW121" s="464"/>
      <c r="AX121" s="464"/>
      <c r="AY121" s="464"/>
      <c r="AZ121" s="464"/>
      <c r="BA121" s="464"/>
      <c r="BB121" s="464"/>
      <c r="BC121" s="464"/>
      <c r="BD121" s="464"/>
    </row>
    <row r="122" spans="1:70" x14ac:dyDescent="0.2">
      <c r="A122" s="467"/>
      <c r="B122" s="467"/>
      <c r="C122" s="467"/>
      <c r="D122" s="467"/>
      <c r="E122" s="467"/>
      <c r="F122" s="467"/>
      <c r="G122" s="467"/>
      <c r="H122" s="467"/>
      <c r="I122" s="467"/>
      <c r="J122" s="467"/>
      <c r="K122" s="467"/>
      <c r="L122" s="597" t="s">
        <v>256</v>
      </c>
      <c r="M122" s="603"/>
      <c r="N122" s="603"/>
      <c r="O122" s="603"/>
      <c r="P122" s="603"/>
      <c r="Q122" s="603"/>
      <c r="R122" s="603"/>
      <c r="S122" s="603"/>
      <c r="T122" s="603"/>
      <c r="U122" s="603"/>
      <c r="V122" s="603"/>
      <c r="W122" s="603"/>
      <c r="X122" s="603"/>
      <c r="Y122" s="603"/>
      <c r="Z122" s="604">
        <f t="shared" ref="Z122:AI122" si="178">IF((Z121/(LEN(Z5)-LEN(SUBSTITUTE(Z5,"*","")))-0.5)&lt;0,"",Z121/(LEN(Z5)-LEN(SUBSTITUTE(Z5,"*","")))-0.5)</f>
        <v>12.5</v>
      </c>
      <c r="AA122" s="467">
        <f t="shared" si="178"/>
        <v>14.5</v>
      </c>
      <c r="AB122" s="467">
        <f t="shared" si="178"/>
        <v>14.5</v>
      </c>
      <c r="AC122" s="467">
        <f t="shared" si="178"/>
        <v>13.5</v>
      </c>
      <c r="AD122" s="467">
        <f t="shared" si="178"/>
        <v>17.5</v>
      </c>
      <c r="AE122" s="467">
        <f t="shared" si="178"/>
        <v>16</v>
      </c>
      <c r="AF122" s="467">
        <f t="shared" si="178"/>
        <v>10.5</v>
      </c>
      <c r="AG122" s="467">
        <f t="shared" si="178"/>
        <v>8.5</v>
      </c>
      <c r="AH122" s="467">
        <f t="shared" si="178"/>
        <v>14</v>
      </c>
      <c r="AI122" s="467">
        <f t="shared" si="178"/>
        <v>12</v>
      </c>
      <c r="AJ122" s="467"/>
      <c r="AK122" s="467"/>
      <c r="AL122" s="467"/>
      <c r="AM122" s="606" t="str">
        <f>IF((AM121/(LEN(AM5)-LEN(SUBSTITUTE(AM5,"*","")))-0.5)&lt;0,"",AM121/(LEN(AM5)-LEN(SUBSTITUTE(AM5,"*","")))-0.5)</f>
        <v/>
      </c>
      <c r="AN122" s="465"/>
      <c r="AO122" s="465"/>
      <c r="AP122" s="465"/>
      <c r="AQ122" s="464"/>
      <c r="AT122" s="464"/>
      <c r="AU122" s="464"/>
      <c r="AV122" s="464"/>
      <c r="AW122" s="464"/>
      <c r="AX122" s="464"/>
      <c r="AY122" s="464"/>
      <c r="AZ122" s="464"/>
      <c r="BA122" s="464"/>
      <c r="BB122" s="464"/>
      <c r="BC122" s="464"/>
      <c r="BD122" s="464"/>
    </row>
    <row r="123" spans="1:70" x14ac:dyDescent="0.2">
      <c r="A123" s="464"/>
      <c r="B123" s="464"/>
      <c r="C123" s="469"/>
      <c r="D123" s="469"/>
      <c r="E123" s="469"/>
      <c r="F123" s="469"/>
      <c r="G123" s="469"/>
      <c r="H123" s="469"/>
      <c r="I123" s="469"/>
      <c r="J123" s="469"/>
      <c r="K123" s="469"/>
      <c r="M123" s="469"/>
      <c r="N123" s="469"/>
      <c r="O123" s="469"/>
      <c r="P123" s="607"/>
      <c r="Q123" s="607"/>
      <c r="R123" s="469"/>
      <c r="S123" s="469"/>
      <c r="T123" s="469"/>
      <c r="U123" s="469"/>
      <c r="V123" s="469"/>
      <c r="W123" s="469"/>
      <c r="X123" s="469"/>
      <c r="Y123" s="469"/>
      <c r="Z123" s="469"/>
      <c r="AA123" s="469"/>
      <c r="AB123" s="469"/>
      <c r="AC123" s="469"/>
      <c r="AD123" s="469"/>
      <c r="AE123" s="469"/>
      <c r="AF123" s="469"/>
      <c r="AG123" s="469"/>
      <c r="AH123" s="469"/>
      <c r="AI123" s="469"/>
      <c r="AJ123" s="469"/>
      <c r="AK123" s="469"/>
      <c r="AL123" s="469"/>
      <c r="AM123" s="469"/>
      <c r="AN123" s="464"/>
      <c r="AO123" s="464"/>
      <c r="AP123" s="464"/>
      <c r="AQ123" s="464"/>
      <c r="AT123" s="464"/>
      <c r="AU123" s="464"/>
      <c r="AV123" s="464"/>
      <c r="AW123" s="464"/>
      <c r="AX123" s="464"/>
      <c r="AY123" s="464"/>
      <c r="AZ123" s="464"/>
      <c r="BA123" s="464"/>
      <c r="BB123" s="464"/>
      <c r="BC123" s="464"/>
      <c r="BD123" s="464"/>
    </row>
    <row r="124" spans="1:70" x14ac:dyDescent="0.2">
      <c r="A124" s="464"/>
      <c r="B124" s="464"/>
      <c r="C124" s="469"/>
      <c r="D124" s="469"/>
      <c r="E124" s="469"/>
      <c r="F124" s="469"/>
      <c r="G124" s="469"/>
      <c r="H124" s="469"/>
      <c r="I124" s="469"/>
      <c r="J124" s="469"/>
      <c r="K124" s="469"/>
      <c r="M124" s="469"/>
      <c r="N124" s="469"/>
      <c r="O124" s="469"/>
      <c r="P124" s="607"/>
      <c r="Q124" s="607"/>
      <c r="S124" s="469"/>
      <c r="T124" s="469"/>
      <c r="U124" s="469"/>
      <c r="V124" s="469"/>
      <c r="W124" s="469"/>
      <c r="X124" s="469"/>
      <c r="Y124" s="469"/>
      <c r="Z124" s="469"/>
      <c r="AA124" s="469"/>
      <c r="AB124" s="469"/>
      <c r="AC124" s="469"/>
      <c r="AD124" s="469"/>
      <c r="AE124" s="469"/>
      <c r="AF124" s="469"/>
      <c r="AG124" s="469"/>
      <c r="AH124" s="469"/>
      <c r="AI124" s="469"/>
      <c r="AJ124" s="469"/>
      <c r="AK124" s="469"/>
      <c r="AL124" s="469"/>
      <c r="AM124" s="469"/>
      <c r="AN124" s="464"/>
      <c r="AO124" s="464"/>
      <c r="AP124" s="464"/>
      <c r="AQ124" s="464"/>
      <c r="AT124" s="464"/>
      <c r="AU124" s="464"/>
      <c r="AV124" s="464"/>
      <c r="AW124" s="464"/>
      <c r="AX124" s="464"/>
      <c r="AY124" s="464"/>
      <c r="AZ124" s="464"/>
      <c r="BA124" s="464"/>
      <c r="BB124" s="464"/>
      <c r="BC124" s="464"/>
      <c r="BD124" s="464"/>
    </row>
    <row r="125" spans="1:70" x14ac:dyDescent="0.2">
      <c r="A125" s="464"/>
      <c r="B125" s="464"/>
      <c r="C125" s="469"/>
      <c r="D125" s="469"/>
      <c r="E125" s="469"/>
      <c r="F125" s="469"/>
      <c r="G125" s="469"/>
      <c r="H125" s="469"/>
      <c r="I125" s="469"/>
      <c r="J125" s="469"/>
      <c r="K125" s="469"/>
      <c r="L125" s="464"/>
      <c r="M125" s="607"/>
      <c r="N125" s="607"/>
      <c r="O125" s="607"/>
      <c r="P125" s="607"/>
      <c r="Q125" s="607"/>
      <c r="R125" s="607"/>
      <c r="S125" s="607"/>
      <c r="T125" s="607"/>
      <c r="U125" s="607"/>
      <c r="V125" s="607"/>
      <c r="W125" s="607"/>
      <c r="X125" s="607"/>
      <c r="Y125" s="607"/>
      <c r="Z125" s="469"/>
      <c r="AA125" s="469"/>
      <c r="AB125" s="469"/>
      <c r="AC125" s="469"/>
      <c r="AD125" s="469"/>
      <c r="AE125" s="469"/>
      <c r="AF125" s="469"/>
      <c r="AG125" s="469"/>
      <c r="AH125" s="469"/>
      <c r="AI125" s="469"/>
      <c r="AJ125" s="469"/>
      <c r="AK125" s="469"/>
      <c r="AL125" s="469"/>
      <c r="AM125" s="469"/>
      <c r="AN125" s="464"/>
      <c r="AO125" s="464"/>
      <c r="AP125" s="464"/>
      <c r="AQ125" s="464"/>
      <c r="AT125" s="464"/>
      <c r="AU125" s="464"/>
      <c r="AV125" s="464"/>
      <c r="AW125" s="464"/>
      <c r="AX125" s="464"/>
      <c r="AY125" s="464"/>
      <c r="AZ125" s="464"/>
      <c r="BA125" s="464"/>
      <c r="BB125" s="464"/>
      <c r="BC125" s="464"/>
      <c r="BD125" s="464"/>
    </row>
  </sheetData>
  <sortState ref="A7:BR120">
    <sortCondition descending="1" ref="Y7:Y120"/>
  </sortState>
  <mergeCells count="3">
    <mergeCell ref="AN4:AN6"/>
    <mergeCell ref="AO4:AO6"/>
    <mergeCell ref="AP4:AP6"/>
  </mergeCells>
  <conditionalFormatting sqref="AM7:AM120">
    <cfRule type="expression" dxfId="654" priority="1">
      <formula>AM7=3</formula>
    </cfRule>
    <cfRule type="expression" dxfId="653" priority="2">
      <formula>AM7=2</formula>
    </cfRule>
    <cfRule type="expression" dxfId="652" priority="3">
      <formula>AM7=1</formula>
    </cfRule>
  </conditionalFormatting>
  <conditionalFormatting sqref="Z121:AI121">
    <cfRule type="top10" dxfId="651" priority="10" stopIfTrue="1" rank="1"/>
  </conditionalFormatting>
  <conditionalFormatting sqref="Z122:AI122">
    <cfRule type="top10" dxfId="650" priority="11" rank="1"/>
  </conditionalFormatting>
  <conditionalFormatting sqref="K7:K120">
    <cfRule type="duplicateValues" dxfId="649" priority="12"/>
  </conditionalFormatting>
  <conditionalFormatting sqref="AO7:AO120">
    <cfRule type="top10" dxfId="648" priority="74" stopIfTrue="1" rank="1"/>
  </conditionalFormatting>
  <conditionalFormatting sqref="AP7:AP120">
    <cfRule type="top10" dxfId="647" priority="76" stopIfTrue="1" rank="1"/>
  </conditionalFormatting>
  <conditionalFormatting sqref="R7:R120">
    <cfRule type="duplicateValues" dxfId="646" priority="78"/>
  </conditionalFormatting>
  <conditionalFormatting sqref="AN7:AN120">
    <cfRule type="top10" dxfId="645" priority="80" stopIfTrue="1" rank="1"/>
  </conditionalFormatting>
  <conditionalFormatting sqref="AL7:AL120">
    <cfRule type="expression" dxfId="644" priority="82">
      <formula>0=COUNT(#REF!)</formula>
    </cfRule>
    <cfRule type="duplicateValues" dxfId="643" priority="83"/>
    <cfRule type="notContainsText" dxfId="642" priority="84" operator="notContains" text="edasi">
      <formula>ISERROR(SEARCH("edasi",AL7))</formula>
    </cfRule>
  </conditionalFormatting>
  <conditionalFormatting sqref="AB7:AB120">
    <cfRule type="top10" dxfId="641" priority="88" rank="1"/>
    <cfRule type="top10" dxfId="640" priority="89" rank="3"/>
    <cfRule type="top10" dxfId="639" priority="90" rank="5"/>
  </conditionalFormatting>
  <conditionalFormatting sqref="AC7:AC120">
    <cfRule type="top10" dxfId="638" priority="94" rank="1"/>
    <cfRule type="top10" dxfId="637" priority="95" rank="3"/>
    <cfRule type="top10" dxfId="636" priority="96" rank="5"/>
  </conditionalFormatting>
  <conditionalFormatting sqref="AA7:AA120">
    <cfRule type="top10" dxfId="635" priority="100" rank="1"/>
    <cfRule type="top10" dxfId="634" priority="101" rank="3"/>
    <cfRule type="top10" dxfId="633" priority="102" rank="5"/>
  </conditionalFormatting>
  <conditionalFormatting sqref="L7:L120">
    <cfRule type="expression" dxfId="632" priority="106">
      <formula>AND(K7=SMALL(K$7:K$120,3),COUNT($AI$7:$AI$120)&gt;0)</formula>
    </cfRule>
    <cfRule type="expression" dxfId="631" priority="107">
      <formula>AND(K7=SMALL(K$7:K$120,2),COUNT($AI$7:$AI$120)&gt;0)</formula>
    </cfRule>
    <cfRule type="expression" dxfId="630" priority="108">
      <formula>AND(K7=SMALL(K$7:K$120,1),COUNT($AI$7:$AI$120)&gt;0)</formula>
    </cfRule>
    <cfRule type="expression" dxfId="629" priority="109">
      <formula>M7="n"</formula>
    </cfRule>
    <cfRule type="expression" dxfId="628" priority="110">
      <formula>O7="j"</formula>
    </cfRule>
    <cfRule type="duplicateValues" dxfId="627" priority="111" stopIfTrue="1"/>
  </conditionalFormatting>
  <conditionalFormatting sqref="A7:A120 C7:C120 G7:G120 I7:I120">
    <cfRule type="expression" dxfId="626" priority="118">
      <formula>AND(A7=SMALL(A$7:A$120,1),COUNT($AI$7:$AI$120)&gt;0)</formula>
    </cfRule>
  </conditionalFormatting>
  <conditionalFormatting sqref="Z7:AI120">
    <cfRule type="expression" dxfId="625" priority="142">
      <formula>IF(COUNT(Z$7:Z$120)=0,TRUE)</formula>
    </cfRule>
    <cfRule type="expression" dxfId="624" priority="143">
      <formula>MID(Z$6,FIND("V",Z$6)+1,256)/10000+IF(Z7="  ",FALSE,Z7)&lt;=$AT7</formula>
    </cfRule>
  </conditionalFormatting>
  <conditionalFormatting sqref="AD7:AD120">
    <cfRule type="top10" dxfId="623" priority="154" rank="1"/>
    <cfRule type="top10" dxfId="622" priority="155" rank="3"/>
    <cfRule type="top10" dxfId="621" priority="156" rank="5"/>
  </conditionalFormatting>
  <conditionalFormatting sqref="AE7:AE120">
    <cfRule type="top10" dxfId="620" priority="160" rank="1"/>
    <cfRule type="top10" dxfId="619" priority="161" rank="3"/>
    <cfRule type="top10" dxfId="618" priority="162" rank="5"/>
  </conditionalFormatting>
  <conditionalFormatting sqref="Z7:Z120">
    <cfRule type="top10" dxfId="617" priority="166" rank="1"/>
    <cfRule type="top10" dxfId="616" priority="167" rank="4"/>
    <cfRule type="top10" dxfId="615" priority="168" rank="6"/>
  </conditionalFormatting>
  <conditionalFormatting sqref="AF7:AF120">
    <cfRule type="top10" dxfId="614" priority="172" rank="1"/>
    <cfRule type="top10" dxfId="613" priority="173" rank="3"/>
    <cfRule type="top10" dxfId="612" priority="174" rank="5"/>
  </conditionalFormatting>
  <conditionalFormatting sqref="AG7:AG120">
    <cfRule type="top10" dxfId="611" priority="178" rank="1"/>
    <cfRule type="top10" dxfId="610" priority="179" rank="3"/>
    <cfRule type="top10" dxfId="609" priority="180" rank="5"/>
  </conditionalFormatting>
  <conditionalFormatting sqref="AH7:AH120">
    <cfRule type="top10" dxfId="608" priority="184" rank="1"/>
    <cfRule type="top10" dxfId="607" priority="185" rank="3"/>
    <cfRule type="top10" dxfId="606" priority="186" rank="5"/>
  </conditionalFormatting>
  <conditionalFormatting sqref="AI7:AI120">
    <cfRule type="top10" dxfId="605" priority="190" rank="1"/>
    <cfRule type="top10" dxfId="604" priority="191" rank="3"/>
    <cfRule type="top10" dxfId="603" priority="192" rank="5"/>
  </conditionalFormatting>
  <pageMargins left="0.39370078740157483" right="0.27559055118110237" top="0.59055118110236227" bottom="0.39370078740157483" header="0.39370078740157483" footer="0"/>
  <pageSetup paperSize="9" fitToHeight="0" orientation="portrait" verticalDpi="1200" r:id="rId1"/>
  <headerFooter>
    <oddHeader>&amp;R&amp;9&amp;P. leht &amp;N&amp; -st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P312"/>
  <sheetViews>
    <sheetView showGridLines="0" showRowColHeaders="0" workbookViewId="0">
      <pane ySplit="1" topLeftCell="A2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1" width="3.28515625" style="377" customWidth="1"/>
    <col min="2" max="2" width="35.85546875" style="377" bestFit="1" customWidth="1"/>
    <col min="3" max="3" width="4.7109375" style="377" customWidth="1"/>
    <col min="4" max="4" width="1.140625" style="377" customWidth="1"/>
    <col min="5" max="5" width="2.7109375" style="377" customWidth="1"/>
    <col min="6" max="6" width="9.140625" style="377"/>
    <col min="7" max="7" width="2.7109375" style="377" customWidth="1"/>
    <col min="8" max="8" width="1.140625" style="377" customWidth="1"/>
    <col min="9" max="9" width="2.7109375" style="377" customWidth="1"/>
    <col min="10" max="10" width="9.140625" style="377"/>
    <col min="11" max="11" width="2.7109375" style="377" customWidth="1"/>
    <col min="12" max="12" width="1.140625" style="377" customWidth="1"/>
    <col min="13" max="13" width="2.7109375" style="377" customWidth="1"/>
    <col min="14" max="14" width="9.140625" style="377"/>
    <col min="15" max="15" width="2.7109375" style="377" customWidth="1"/>
    <col min="16" max="16" width="1.140625" style="377" customWidth="1"/>
    <col min="17" max="17" width="2.7109375" style="377" customWidth="1"/>
    <col min="18" max="18" width="9.140625" style="377"/>
    <col min="19" max="19" width="2.7109375" style="377" hidden="1" customWidth="1"/>
    <col min="20" max="20" width="1.140625" style="377" hidden="1" customWidth="1"/>
    <col min="21" max="21" width="2.7109375" style="377" hidden="1" customWidth="1"/>
    <col min="22" max="22" width="0" style="377" hidden="1" customWidth="1"/>
    <col min="23" max="23" width="5.7109375" style="377" customWidth="1"/>
    <col min="24" max="24" width="5.5703125" style="377" customWidth="1"/>
    <col min="25" max="25" width="7.42578125" style="377" customWidth="1"/>
    <col min="26" max="26" width="2.7109375" style="377" customWidth="1"/>
    <col min="27" max="27" width="1.140625" style="377" customWidth="1"/>
    <col min="28" max="28" width="2.7109375" style="377" customWidth="1"/>
    <col min="29" max="29" width="4.7109375" style="377" customWidth="1"/>
    <col min="30" max="31" width="9.140625" style="377" hidden="1" customWidth="1"/>
    <col min="32" max="32" width="17" style="377" hidden="1" customWidth="1"/>
    <col min="33" max="33" width="9.140625" style="377" hidden="1" customWidth="1"/>
    <col min="34" max="34" width="25.140625" style="377" hidden="1" customWidth="1"/>
    <col min="35" max="35" width="9.140625" style="377" hidden="1" customWidth="1"/>
    <col min="36" max="36" width="17.28515625" style="377" hidden="1" customWidth="1"/>
    <col min="37" max="37" width="9.140625" style="377" hidden="1" customWidth="1"/>
    <col min="38" max="38" width="13.85546875" style="377" hidden="1" customWidth="1"/>
    <col min="39" max="39" width="9.140625" style="377" hidden="1" customWidth="1"/>
    <col min="40" max="40" width="17.28515625" style="377" hidden="1" customWidth="1"/>
    <col min="41" max="41" width="9.140625" style="377" hidden="1" customWidth="1"/>
    <col min="42" max="42" width="13.85546875" style="377" hidden="1" customWidth="1"/>
    <col min="43" max="16384" width="9.140625" style="377"/>
  </cols>
  <sheetData>
    <row r="1" spans="1:42" x14ac:dyDescent="0.2">
      <c r="A1" s="376" t="str">
        <f>UPPER((Kalend!E5)&amp;" - "&amp;(Kalend!C5))&amp;" - "&amp;LOWER(Kalend!D5)&amp;" - "&amp;(Kalend!A5)&amp;" kell "&amp;(Kalend!B5)&amp;" - "&amp;(Kalend!F5)</f>
        <v>V1 - VOKA X KV 1. ETAPP - duo - K, 10.05.2023 kell 18:00 - Voka staadion</v>
      </c>
      <c r="O1" s="378"/>
      <c r="P1" s="378"/>
      <c r="Q1" s="379"/>
      <c r="R1" s="379"/>
      <c r="S1" s="379"/>
      <c r="T1" s="380"/>
      <c r="U1" s="380"/>
      <c r="V1" s="380"/>
      <c r="W1" s="378"/>
      <c r="X1" s="381"/>
      <c r="Y1" s="378"/>
      <c r="Z1" s="378"/>
      <c r="AD1" s="382" t="s">
        <v>133</v>
      </c>
      <c r="AE1" s="383"/>
      <c r="AF1" s="383"/>
      <c r="AG1" s="383"/>
      <c r="AH1" s="383"/>
      <c r="AI1" s="383"/>
      <c r="AJ1" s="383"/>
      <c r="AK1" s="383"/>
      <c r="AL1" s="383"/>
      <c r="AM1" s="383"/>
      <c r="AN1" s="383"/>
      <c r="AO1" s="384"/>
      <c r="AP1" s="384"/>
    </row>
    <row r="2" spans="1:42" x14ac:dyDescent="0.2">
      <c r="A2" s="385"/>
      <c r="F2" s="378"/>
      <c r="L2" s="386"/>
      <c r="M2" s="386"/>
      <c r="N2" s="386"/>
      <c r="O2" s="378"/>
      <c r="P2" s="378"/>
      <c r="Q2" s="378"/>
      <c r="R2" s="387" t="s">
        <v>292</v>
      </c>
      <c r="S2" s="378"/>
      <c r="T2" s="386"/>
      <c r="U2" s="386"/>
      <c r="V2" s="386"/>
      <c r="W2" s="388">
        <v>1</v>
      </c>
      <c r="X2" s="389" t="s">
        <v>293</v>
      </c>
      <c r="Y2" s="378"/>
      <c r="Z2" s="378"/>
      <c r="AA2" s="378"/>
      <c r="AB2" s="378"/>
      <c r="AE2" s="378"/>
      <c r="AG2" s="378"/>
      <c r="AH2" s="378"/>
      <c r="AI2" s="378"/>
      <c r="AJ2" s="378"/>
      <c r="AK2" s="378"/>
      <c r="AL2" s="378"/>
      <c r="AM2" s="378"/>
      <c r="AN2" s="378"/>
    </row>
    <row r="3" spans="1:42" x14ac:dyDescent="0.2">
      <c r="A3" s="385"/>
      <c r="F3" s="378"/>
      <c r="L3" s="378"/>
      <c r="M3" s="378"/>
      <c r="N3" s="378"/>
      <c r="O3" s="378"/>
      <c r="P3" s="378"/>
      <c r="Q3" s="378"/>
      <c r="R3" s="390" t="s">
        <v>294</v>
      </c>
      <c r="S3" s="378"/>
      <c r="T3" s="378"/>
      <c r="U3" s="378"/>
      <c r="V3" s="378"/>
      <c r="W3" s="388">
        <v>0.5</v>
      </c>
      <c r="X3" s="389" t="s">
        <v>293</v>
      </c>
      <c r="Y3" s="378"/>
      <c r="Z3" s="378"/>
      <c r="AA3" s="378"/>
      <c r="AB3" s="378"/>
      <c r="AE3" s="386"/>
      <c r="AF3" s="386"/>
      <c r="AG3" s="386"/>
      <c r="AH3" s="391"/>
      <c r="AI3" s="386"/>
      <c r="AJ3" s="386"/>
      <c r="AK3" s="386"/>
      <c r="AL3" s="386"/>
      <c r="AM3" s="386"/>
      <c r="AN3" s="386"/>
      <c r="AO3" s="386"/>
      <c r="AP3" s="386"/>
    </row>
    <row r="4" spans="1:42" x14ac:dyDescent="0.2">
      <c r="F4" s="378"/>
      <c r="L4" s="378"/>
      <c r="M4" s="378"/>
      <c r="N4" s="378"/>
      <c r="O4" s="378"/>
      <c r="P4" s="378"/>
      <c r="Q4" s="378"/>
      <c r="R4" s="392" t="s">
        <v>295</v>
      </c>
      <c r="S4" s="378"/>
      <c r="T4" s="378"/>
      <c r="U4" s="378"/>
      <c r="V4" s="378"/>
      <c r="W4" s="388">
        <v>0</v>
      </c>
      <c r="X4" s="389" t="s">
        <v>293</v>
      </c>
      <c r="Y4" s="378"/>
      <c r="Z4" s="378"/>
      <c r="AA4" s="378"/>
      <c r="AB4" s="378"/>
    </row>
    <row r="5" spans="1:42" x14ac:dyDescent="0.2">
      <c r="F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W5" s="378"/>
      <c r="X5" s="378"/>
      <c r="Y5" s="378"/>
      <c r="Z5" s="378"/>
      <c r="AA5" s="378"/>
      <c r="AB5" s="393" t="s">
        <v>296</v>
      </c>
      <c r="AD5" s="394" t="s">
        <v>297</v>
      </c>
    </row>
    <row r="6" spans="1:42" x14ac:dyDescent="0.2">
      <c r="A6" s="395" t="s">
        <v>157</v>
      </c>
      <c r="B6" s="395" t="s">
        <v>156</v>
      </c>
      <c r="C6" s="396" t="s">
        <v>298</v>
      </c>
      <c r="D6" s="397"/>
      <c r="E6" s="397"/>
      <c r="F6" s="398"/>
      <c r="G6" s="396" t="s">
        <v>299</v>
      </c>
      <c r="H6" s="397"/>
      <c r="I6" s="397"/>
      <c r="J6" s="398"/>
      <c r="K6" s="396" t="s">
        <v>300</v>
      </c>
      <c r="L6" s="397"/>
      <c r="M6" s="397"/>
      <c r="N6" s="398"/>
      <c r="O6" s="396" t="s">
        <v>301</v>
      </c>
      <c r="P6" s="397"/>
      <c r="Q6" s="397"/>
      <c r="R6" s="398"/>
      <c r="S6" s="396" t="s">
        <v>302</v>
      </c>
      <c r="T6" s="397"/>
      <c r="U6" s="397"/>
      <c r="V6" s="398"/>
      <c r="W6" s="395" t="s">
        <v>142</v>
      </c>
      <c r="X6" s="399" t="s">
        <v>303</v>
      </c>
      <c r="Y6" s="395" t="s">
        <v>304</v>
      </c>
      <c r="Z6" s="399"/>
      <c r="AA6" s="400" t="s">
        <v>305</v>
      </c>
      <c r="AB6" s="401"/>
      <c r="AC6" s="402" t="s">
        <v>306</v>
      </c>
      <c r="AD6" s="403" t="s">
        <v>261</v>
      </c>
      <c r="AE6" s="404"/>
      <c r="AF6" s="404" t="s">
        <v>307</v>
      </c>
      <c r="AG6" s="404"/>
      <c r="AH6" s="405" t="s">
        <v>308</v>
      </c>
      <c r="AI6" s="404"/>
      <c r="AJ6" s="404" t="s">
        <v>309</v>
      </c>
      <c r="AK6" s="406"/>
      <c r="AL6" s="404" t="s">
        <v>310</v>
      </c>
      <c r="AM6" s="406"/>
      <c r="AN6" s="406" t="s">
        <v>311</v>
      </c>
      <c r="AO6" s="407"/>
      <c r="AP6" s="406" t="s">
        <v>312</v>
      </c>
    </row>
    <row r="7" spans="1:42" x14ac:dyDescent="0.2">
      <c r="A7" s="408">
        <v>1</v>
      </c>
      <c r="B7" s="409" t="s">
        <v>408</v>
      </c>
      <c r="C7" s="410">
        <v>13</v>
      </c>
      <c r="D7" s="411" t="s">
        <v>313</v>
      </c>
      <c r="E7" s="411">
        <v>7</v>
      </c>
      <c r="F7" s="412" t="s">
        <v>318</v>
      </c>
      <c r="G7" s="410">
        <v>11</v>
      </c>
      <c r="H7" s="411" t="s">
        <v>313</v>
      </c>
      <c r="I7" s="411">
        <v>9</v>
      </c>
      <c r="J7" s="412" t="s">
        <v>319</v>
      </c>
      <c r="K7" s="410">
        <v>13</v>
      </c>
      <c r="L7" s="411" t="s">
        <v>313</v>
      </c>
      <c r="M7" s="411">
        <v>4</v>
      </c>
      <c r="N7" s="412" t="s">
        <v>320</v>
      </c>
      <c r="O7" s="410">
        <v>13</v>
      </c>
      <c r="P7" s="411" t="s">
        <v>313</v>
      </c>
      <c r="Q7" s="411">
        <v>12</v>
      </c>
      <c r="R7" s="412" t="s">
        <v>321</v>
      </c>
      <c r="S7" s="410"/>
      <c r="T7" s="411"/>
      <c r="U7" s="411"/>
      <c r="V7" s="412"/>
      <c r="W7" s="413">
        <f t="shared" ref="W7:W19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4</v>
      </c>
      <c r="X7" s="414">
        <v>18</v>
      </c>
      <c r="Y7" s="414">
        <v>76</v>
      </c>
      <c r="Z7" s="410">
        <f t="shared" ref="Z7:Z15" si="1">C7+G7+K7+O7+S7</f>
        <v>50</v>
      </c>
      <c r="AA7" s="411" t="s">
        <v>313</v>
      </c>
      <c r="AB7" s="415">
        <f t="shared" ref="AB7:AB15" si="2">E7+I7+M7+Q7+U7</f>
        <v>32</v>
      </c>
      <c r="AC7" s="416">
        <f t="shared" ref="AC7:AC15" si="3">Z7-AB7</f>
        <v>18</v>
      </c>
      <c r="AD7" s="417">
        <f t="shared" ref="AD7:AD10" si="4">SUM(AE7:AL7)</f>
        <v>364</v>
      </c>
      <c r="AE7" s="418">
        <f>IFERROR(INDEX(V!$R:$R,MATCH(AF7,V!$L:$L,0)),"")</f>
        <v>234</v>
      </c>
      <c r="AF7" s="419" t="str">
        <f t="shared" ref="AF7:AF19" si="5">IFERROR(LEFT($B7,(FIND(",",$B7,1)-1)),"")</f>
        <v>Kenneth Muusikus</v>
      </c>
      <c r="AG7" s="418">
        <f>IFERROR(INDEX(V!$R:$R,MATCH(AH7,V!$L:$L,0)),"")</f>
        <v>130</v>
      </c>
      <c r="AH7" s="419" t="str">
        <f t="shared" ref="AH7:AH19" si="6">IFERROR(MID($B7,FIND(", ",$B7)+2,256),"")</f>
        <v>Tõnis Neiland</v>
      </c>
      <c r="AI7" s="418" t="str">
        <f>IFERROR(INDEX(V!$R:$R,MATCH(AJ7,V!$L:$L,0)),"")</f>
        <v/>
      </c>
      <c r="AJ7" s="419" t="str">
        <f t="shared" ref="AJ7:AJ19" si="7">IFERROR(MID($B7,FIND("^",SUBSTITUTE($B7,", ","^",1))+2,FIND("^",SUBSTITUTE($B7,", ","^",2))-FIND("^",SUBSTITUTE($B7,", ","^",1))-2),"")</f>
        <v/>
      </c>
      <c r="AK7" s="418" t="str">
        <f>IFERROR(INDEX(V!$R:$R,MATCH(AL7,V!$L:$L,0)),"")</f>
        <v/>
      </c>
      <c r="AL7" s="419" t="str">
        <f t="shared" ref="AL7:AL19" si="8">IFERROR(MID($B7,FIND(", ",$B7,FIND(", ",$B7,FIND(", ",$B7))+1)+2,30000),"")</f>
        <v/>
      </c>
      <c r="AM7" s="418" t="str">
        <f>IFERROR(INDEX(V!$R:$R,MATCH(AN7,V!$L:$L,0)),"")</f>
        <v/>
      </c>
      <c r="AN7" s="419" t="str">
        <f t="shared" ref="AN7:AN19" si="9">IFERROR(MID($B7,FIND(", ",$B7,FIND(", ",$B7)+1)+2,FIND(", ",$B7,FIND(", ",$B7,FIND(", ",$B7)+1)+1)-FIND(", ",$B7,FIND(", ",$B7)+1)-2),"")</f>
        <v/>
      </c>
      <c r="AO7" s="418" t="str">
        <f>IFERROR(INDEX(V!$R:$R,MATCH(AP7,V!$L:$L,0)),"")</f>
        <v/>
      </c>
      <c r="AP7" s="419" t="str">
        <f t="shared" ref="AP7:AP19" si="10">IFERROR(MID($B7,FIND(", ",$B7,FIND(", ",$B7,FIND(", ",$B7)+1)+1)+2,30000),"")</f>
        <v/>
      </c>
    </row>
    <row r="8" spans="1:42" x14ac:dyDescent="0.2">
      <c r="A8" s="408">
        <v>2</v>
      </c>
      <c r="B8" s="420" t="s">
        <v>320</v>
      </c>
      <c r="C8" s="410">
        <v>13</v>
      </c>
      <c r="D8" s="411" t="s">
        <v>313</v>
      </c>
      <c r="E8" s="411">
        <v>2</v>
      </c>
      <c r="F8" s="412" t="s">
        <v>322</v>
      </c>
      <c r="G8" s="410">
        <v>13</v>
      </c>
      <c r="H8" s="411" t="s">
        <v>313</v>
      </c>
      <c r="I8" s="411">
        <v>1</v>
      </c>
      <c r="J8" s="412" t="s">
        <v>323</v>
      </c>
      <c r="K8" s="410">
        <v>4</v>
      </c>
      <c r="L8" s="411" t="s">
        <v>313</v>
      </c>
      <c r="M8" s="411">
        <v>13</v>
      </c>
      <c r="N8" s="412" t="s">
        <v>317</v>
      </c>
      <c r="O8" s="410">
        <v>11</v>
      </c>
      <c r="P8" s="411" t="s">
        <v>313</v>
      </c>
      <c r="Q8" s="411">
        <v>10</v>
      </c>
      <c r="R8" s="412" t="s">
        <v>314</v>
      </c>
      <c r="S8" s="410"/>
      <c r="T8" s="411"/>
      <c r="U8" s="411"/>
      <c r="V8" s="412"/>
      <c r="W8" s="413">
        <f t="shared" si="0"/>
        <v>3</v>
      </c>
      <c r="X8" s="414">
        <v>18</v>
      </c>
      <c r="Y8" s="414">
        <v>66</v>
      </c>
      <c r="Z8" s="410">
        <f t="shared" si="1"/>
        <v>41</v>
      </c>
      <c r="AA8" s="411" t="s">
        <v>313</v>
      </c>
      <c r="AB8" s="415">
        <f t="shared" si="2"/>
        <v>26</v>
      </c>
      <c r="AC8" s="416">
        <f t="shared" si="3"/>
        <v>15</v>
      </c>
      <c r="AD8" s="417">
        <f t="shared" si="4"/>
        <v>182</v>
      </c>
      <c r="AE8" s="418">
        <f>IFERROR(INDEX(V!$R:$R,MATCH(AF8,V!$L:$L,0)),"")</f>
        <v>132</v>
      </c>
      <c r="AF8" s="419" t="str">
        <f t="shared" si="5"/>
        <v>Ivar Viljaste</v>
      </c>
      <c r="AG8" s="418">
        <f>IFERROR(INDEX(V!$R:$R,MATCH(AH8,V!$L:$L,0)),"")</f>
        <v>50</v>
      </c>
      <c r="AH8" s="419" t="str">
        <f t="shared" si="6"/>
        <v>Kristo Viljaste</v>
      </c>
      <c r="AI8" s="418" t="str">
        <f>IFERROR(INDEX(V!$R:$R,MATCH(AJ8,V!$L:$L,0)),"")</f>
        <v/>
      </c>
      <c r="AJ8" s="419" t="str">
        <f t="shared" si="7"/>
        <v/>
      </c>
      <c r="AK8" s="418" t="str">
        <f>IFERROR(INDEX(V!$R:$R,MATCH(AL8,V!$L:$L,0)),"")</f>
        <v/>
      </c>
      <c r="AL8" s="419" t="str">
        <f t="shared" si="8"/>
        <v/>
      </c>
      <c r="AM8" s="418" t="str">
        <f>IFERROR(INDEX(V!$R:$R,MATCH(AN8,V!$L:$L,0)),"")</f>
        <v/>
      </c>
      <c r="AN8" s="419" t="str">
        <f t="shared" si="9"/>
        <v/>
      </c>
      <c r="AO8" s="418" t="str">
        <f>IFERROR(INDEX(V!$R:$R,MATCH(AP8,V!$L:$L,0)),"")</f>
        <v/>
      </c>
      <c r="AP8" s="419" t="str">
        <f t="shared" si="10"/>
        <v/>
      </c>
    </row>
    <row r="9" spans="1:42" x14ac:dyDescent="0.2">
      <c r="A9" s="408">
        <v>3</v>
      </c>
      <c r="B9" s="421" t="s">
        <v>324</v>
      </c>
      <c r="C9" s="410">
        <v>11</v>
      </c>
      <c r="D9" s="411" t="s">
        <v>313</v>
      </c>
      <c r="E9" s="411">
        <v>13</v>
      </c>
      <c r="F9" s="412" t="s">
        <v>314</v>
      </c>
      <c r="G9" s="410">
        <v>13</v>
      </c>
      <c r="H9" s="411" t="s">
        <v>313</v>
      </c>
      <c r="I9" s="411">
        <v>5</v>
      </c>
      <c r="J9" s="412" t="s">
        <v>325</v>
      </c>
      <c r="K9" s="410">
        <v>13</v>
      </c>
      <c r="L9" s="411" t="s">
        <v>313</v>
      </c>
      <c r="M9" s="411">
        <v>9</v>
      </c>
      <c r="N9" s="412" t="s">
        <v>318</v>
      </c>
      <c r="O9" s="410">
        <v>13</v>
      </c>
      <c r="P9" s="411" t="s">
        <v>313</v>
      </c>
      <c r="Q9" s="411">
        <v>9</v>
      </c>
      <c r="R9" s="412" t="s">
        <v>326</v>
      </c>
      <c r="S9" s="410"/>
      <c r="T9" s="411"/>
      <c r="U9" s="411"/>
      <c r="V9" s="412"/>
      <c r="W9" s="413">
        <f t="shared" si="0"/>
        <v>3</v>
      </c>
      <c r="X9" s="414">
        <v>18</v>
      </c>
      <c r="Y9" s="414">
        <v>62</v>
      </c>
      <c r="Z9" s="410">
        <f t="shared" si="1"/>
        <v>50</v>
      </c>
      <c r="AA9" s="411" t="s">
        <v>313</v>
      </c>
      <c r="AB9" s="415">
        <f t="shared" si="2"/>
        <v>36</v>
      </c>
      <c r="AC9" s="416">
        <f t="shared" si="3"/>
        <v>14</v>
      </c>
      <c r="AD9" s="417">
        <f t="shared" si="4"/>
        <v>332</v>
      </c>
      <c r="AE9" s="418">
        <f>IFERROR(INDEX(V!$R:$R,MATCH(AF9,V!$L:$L,0)),"")</f>
        <v>166</v>
      </c>
      <c r="AF9" s="419" t="str">
        <f t="shared" si="5"/>
        <v>Oleg Rõndenkov</v>
      </c>
      <c r="AG9" s="418">
        <f>IFERROR(INDEX(V!$R:$R,MATCH(AH9,V!$L:$L,0)),"")</f>
        <v>166</v>
      </c>
      <c r="AH9" s="419" t="str">
        <f t="shared" si="6"/>
        <v>Sander Rose</v>
      </c>
      <c r="AI9" s="418" t="str">
        <f>IFERROR(INDEX(V!$R:$R,MATCH(AJ9,V!$L:$L,0)),"")</f>
        <v/>
      </c>
      <c r="AJ9" s="419" t="str">
        <f t="shared" si="7"/>
        <v/>
      </c>
      <c r="AK9" s="418" t="str">
        <f>IFERROR(INDEX(V!$R:$R,MATCH(AL9,V!$L:$L,0)),"")</f>
        <v/>
      </c>
      <c r="AL9" s="419" t="str">
        <f t="shared" si="8"/>
        <v/>
      </c>
      <c r="AM9" s="418" t="str">
        <f>IFERROR(INDEX(V!$R:$R,MATCH(AN9,V!$L:$L,0)),"")</f>
        <v/>
      </c>
      <c r="AN9" s="419" t="str">
        <f t="shared" si="9"/>
        <v/>
      </c>
      <c r="AO9" s="418" t="str">
        <f>IFERROR(INDEX(V!$R:$R,MATCH(AP9,V!$L:$L,0)),"")</f>
        <v/>
      </c>
      <c r="AP9" s="419" t="str">
        <f t="shared" si="10"/>
        <v/>
      </c>
    </row>
    <row r="10" spans="1:42" x14ac:dyDescent="0.2">
      <c r="A10" s="408">
        <v>4</v>
      </c>
      <c r="B10" s="421" t="s">
        <v>321</v>
      </c>
      <c r="C10" s="410">
        <v>13</v>
      </c>
      <c r="D10" s="411" t="s">
        <v>313</v>
      </c>
      <c r="E10" s="411">
        <v>9</v>
      </c>
      <c r="F10" s="412" t="s">
        <v>327</v>
      </c>
      <c r="G10" s="410">
        <v>13</v>
      </c>
      <c r="H10" s="411" t="s">
        <v>313</v>
      </c>
      <c r="I10" s="411">
        <v>6</v>
      </c>
      <c r="J10" s="412" t="s">
        <v>314</v>
      </c>
      <c r="K10" s="410">
        <v>13</v>
      </c>
      <c r="L10" s="411" t="s">
        <v>313</v>
      </c>
      <c r="M10" s="411">
        <v>3</v>
      </c>
      <c r="N10" s="412" t="s">
        <v>319</v>
      </c>
      <c r="O10" s="410">
        <v>12</v>
      </c>
      <c r="P10" s="411" t="s">
        <v>313</v>
      </c>
      <c r="Q10" s="411">
        <v>13</v>
      </c>
      <c r="R10" s="412" t="s">
        <v>317</v>
      </c>
      <c r="S10" s="410"/>
      <c r="T10" s="411"/>
      <c r="U10" s="411"/>
      <c r="V10" s="412"/>
      <c r="W10" s="413">
        <f t="shared" si="0"/>
        <v>3</v>
      </c>
      <c r="X10" s="414">
        <v>16</v>
      </c>
      <c r="Y10" s="414">
        <v>78</v>
      </c>
      <c r="Z10" s="410">
        <f t="shared" si="1"/>
        <v>51</v>
      </c>
      <c r="AA10" s="411" t="s">
        <v>313</v>
      </c>
      <c r="AB10" s="415">
        <f t="shared" si="2"/>
        <v>31</v>
      </c>
      <c r="AC10" s="416">
        <f t="shared" si="3"/>
        <v>20</v>
      </c>
      <c r="AD10" s="417">
        <f t="shared" si="4"/>
        <v>272</v>
      </c>
      <c r="AE10" s="418">
        <f>IFERROR(INDEX(V!$R:$R,MATCH(AF10,V!$L:$L,0)),"")</f>
        <v>130</v>
      </c>
      <c r="AF10" s="419" t="str">
        <f t="shared" si="5"/>
        <v>Kaspar Mänd</v>
      </c>
      <c r="AG10" s="418">
        <f>IFERROR(INDEX(V!$R:$R,MATCH(AH10,V!$L:$L,0)),"")</f>
        <v>142</v>
      </c>
      <c r="AH10" s="419" t="str">
        <f t="shared" si="6"/>
        <v>Olav Türk</v>
      </c>
      <c r="AI10" s="418" t="str">
        <f>IFERROR(INDEX(V!$R:$R,MATCH(AJ10,V!$L:$L,0)),"")</f>
        <v/>
      </c>
      <c r="AJ10" s="419" t="str">
        <f t="shared" si="7"/>
        <v/>
      </c>
      <c r="AK10" s="418" t="str">
        <f>IFERROR(INDEX(V!$R:$R,MATCH(AL10,V!$L:$L,0)),"")</f>
        <v/>
      </c>
      <c r="AL10" s="419" t="str">
        <f t="shared" si="8"/>
        <v/>
      </c>
      <c r="AM10" s="418" t="str">
        <f>IFERROR(INDEX(V!$R:$R,MATCH(AN10,V!$L:$L,0)),"")</f>
        <v/>
      </c>
      <c r="AN10" s="419" t="str">
        <f t="shared" si="9"/>
        <v/>
      </c>
      <c r="AO10" s="418" t="str">
        <f>IFERROR(INDEX(V!$R:$R,MATCH(AP10,V!$L:$L,0)),"")</f>
        <v/>
      </c>
      <c r="AP10" s="419" t="str">
        <f t="shared" si="10"/>
        <v/>
      </c>
    </row>
    <row r="11" spans="1:42" x14ac:dyDescent="0.2">
      <c r="A11" s="408">
        <v>5</v>
      </c>
      <c r="B11" s="420" t="s">
        <v>325</v>
      </c>
      <c r="C11" s="410">
        <v>13</v>
      </c>
      <c r="D11" s="411" t="s">
        <v>313</v>
      </c>
      <c r="E11" s="411">
        <v>7</v>
      </c>
      <c r="F11" s="412" t="s">
        <v>315</v>
      </c>
      <c r="G11" s="410">
        <v>5</v>
      </c>
      <c r="H11" s="411" t="s">
        <v>313</v>
      </c>
      <c r="I11" s="411">
        <v>13</v>
      </c>
      <c r="J11" s="412" t="s">
        <v>324</v>
      </c>
      <c r="K11" s="410">
        <v>13</v>
      </c>
      <c r="L11" s="411" t="s">
        <v>313</v>
      </c>
      <c r="M11" s="411">
        <v>6</v>
      </c>
      <c r="N11" s="412" t="s">
        <v>327</v>
      </c>
      <c r="O11" s="410">
        <v>13</v>
      </c>
      <c r="P11" s="411" t="s">
        <v>313</v>
      </c>
      <c r="Q11" s="411">
        <v>1</v>
      </c>
      <c r="R11" s="412" t="s">
        <v>319</v>
      </c>
      <c r="S11" s="410"/>
      <c r="T11" s="411"/>
      <c r="U11" s="411"/>
      <c r="V11" s="412"/>
      <c r="W11" s="413">
        <f t="shared" si="0"/>
        <v>3</v>
      </c>
      <c r="X11" s="414">
        <v>10</v>
      </c>
      <c r="Y11" s="414">
        <v>58</v>
      </c>
      <c r="Z11" s="410">
        <f t="shared" si="1"/>
        <v>44</v>
      </c>
      <c r="AA11" s="411" t="s">
        <v>313</v>
      </c>
      <c r="AB11" s="415">
        <f t="shared" si="2"/>
        <v>27</v>
      </c>
      <c r="AC11" s="416">
        <f t="shared" si="3"/>
        <v>17</v>
      </c>
      <c r="AD11" s="417">
        <f t="shared" ref="AD11:AD13" si="11">SUM(AE11:AL11)</f>
        <v>174</v>
      </c>
      <c r="AE11" s="418">
        <f>IFERROR(INDEX(V!$R:$R,MATCH(AF11,V!$L:$L,0)),"")</f>
        <v>46</v>
      </c>
      <c r="AF11" s="419" t="str">
        <f t="shared" si="5"/>
        <v>Henri Mitt</v>
      </c>
      <c r="AG11" s="418">
        <f>IFERROR(INDEX(V!$R:$R,MATCH(AH11,V!$L:$L,0)),"")</f>
        <v>128</v>
      </c>
      <c r="AH11" s="419" t="str">
        <f t="shared" si="6"/>
        <v>Urmas Randlaine</v>
      </c>
      <c r="AI11" s="418" t="str">
        <f>IFERROR(INDEX(V!$R:$R,MATCH(AJ11,V!$L:$L,0)),"")</f>
        <v/>
      </c>
      <c r="AJ11" s="419" t="str">
        <f t="shared" si="7"/>
        <v/>
      </c>
      <c r="AK11" s="418" t="str">
        <f>IFERROR(INDEX(V!$R:$R,MATCH(AL11,V!$L:$L,0)),"")</f>
        <v/>
      </c>
      <c r="AL11" s="419" t="str">
        <f t="shared" si="8"/>
        <v/>
      </c>
      <c r="AM11" s="418" t="str">
        <f>IFERROR(INDEX(V!$R:$R,MATCH(AN11,V!$L:$L,0)),"")</f>
        <v/>
      </c>
      <c r="AN11" s="419" t="str">
        <f t="shared" si="9"/>
        <v/>
      </c>
      <c r="AO11" s="418" t="str">
        <f>IFERROR(INDEX(V!$R:$R,MATCH(AP11,V!$L:$L,0)),"")</f>
        <v/>
      </c>
      <c r="AP11" s="419" t="str">
        <f t="shared" si="10"/>
        <v/>
      </c>
    </row>
    <row r="12" spans="1:42" x14ac:dyDescent="0.2">
      <c r="A12" s="408">
        <v>6</v>
      </c>
      <c r="B12" s="421" t="s">
        <v>314</v>
      </c>
      <c r="C12" s="410">
        <v>13</v>
      </c>
      <c r="D12" s="411" t="s">
        <v>313</v>
      </c>
      <c r="E12" s="411">
        <v>11</v>
      </c>
      <c r="F12" s="412" t="s">
        <v>324</v>
      </c>
      <c r="G12" s="410">
        <v>6</v>
      </c>
      <c r="H12" s="411" t="s">
        <v>313</v>
      </c>
      <c r="I12" s="411">
        <v>13</v>
      </c>
      <c r="J12" s="412" t="s">
        <v>321</v>
      </c>
      <c r="K12" s="410">
        <v>13</v>
      </c>
      <c r="L12" s="411" t="s">
        <v>313</v>
      </c>
      <c r="M12" s="411">
        <v>7</v>
      </c>
      <c r="N12" s="412" t="s">
        <v>323</v>
      </c>
      <c r="O12" s="410">
        <v>10</v>
      </c>
      <c r="P12" s="411" t="s">
        <v>313</v>
      </c>
      <c r="Q12" s="411">
        <v>11</v>
      </c>
      <c r="R12" s="412" t="s">
        <v>320</v>
      </c>
      <c r="S12" s="410"/>
      <c r="T12" s="411"/>
      <c r="U12" s="411"/>
      <c r="V12" s="412"/>
      <c r="W12" s="413">
        <f t="shared" si="0"/>
        <v>2</v>
      </c>
      <c r="X12" s="414">
        <v>20</v>
      </c>
      <c r="Y12" s="414">
        <v>68</v>
      </c>
      <c r="Z12" s="410">
        <f t="shared" si="1"/>
        <v>42</v>
      </c>
      <c r="AA12" s="411" t="s">
        <v>313</v>
      </c>
      <c r="AB12" s="415">
        <f t="shared" si="2"/>
        <v>42</v>
      </c>
      <c r="AC12" s="416">
        <f t="shared" si="3"/>
        <v>0</v>
      </c>
      <c r="AD12" s="417">
        <f t="shared" si="11"/>
        <v>170</v>
      </c>
      <c r="AE12" s="418">
        <f>IFERROR(INDEX(V!$R:$R,MATCH(AF12,V!$L:$L,0)),"")</f>
        <v>116</v>
      </c>
      <c r="AF12" s="419" t="str">
        <f t="shared" si="5"/>
        <v>Jaan Saar</v>
      </c>
      <c r="AG12" s="418">
        <f>IFERROR(INDEX(V!$R:$R,MATCH(AH12,V!$L:$L,0)),"")</f>
        <v>54</v>
      </c>
      <c r="AH12" s="419" t="str">
        <f t="shared" si="6"/>
        <v>Sirje Maala</v>
      </c>
      <c r="AI12" s="418" t="str">
        <f>IFERROR(INDEX(V!$R:$R,MATCH(AJ12,V!$L:$L,0)),"")</f>
        <v/>
      </c>
      <c r="AJ12" s="419" t="str">
        <f t="shared" si="7"/>
        <v/>
      </c>
      <c r="AK12" s="418" t="str">
        <f>IFERROR(INDEX(V!$R:$R,MATCH(AL12,V!$L:$L,0)),"")</f>
        <v/>
      </c>
      <c r="AL12" s="419" t="str">
        <f t="shared" si="8"/>
        <v/>
      </c>
      <c r="AM12" s="418" t="str">
        <f>IFERROR(INDEX(V!$R:$R,MATCH(AN12,V!$L:$L,0)),"")</f>
        <v/>
      </c>
      <c r="AN12" s="419" t="str">
        <f t="shared" si="9"/>
        <v/>
      </c>
      <c r="AO12" s="418" t="str">
        <f>IFERROR(INDEX(V!$R:$R,MATCH(AP12,V!$L:$L,0)),"")</f>
        <v/>
      </c>
      <c r="AP12" s="419" t="str">
        <f t="shared" si="10"/>
        <v/>
      </c>
    </row>
    <row r="13" spans="1:42" x14ac:dyDescent="0.2">
      <c r="A13" s="408">
        <v>7</v>
      </c>
      <c r="B13" s="422" t="s">
        <v>318</v>
      </c>
      <c r="C13" s="410">
        <v>7</v>
      </c>
      <c r="D13" s="411" t="s">
        <v>313</v>
      </c>
      <c r="E13" s="411">
        <v>13</v>
      </c>
      <c r="F13" s="412" t="s">
        <v>317</v>
      </c>
      <c r="G13" s="410">
        <v>13</v>
      </c>
      <c r="H13" s="411" t="s">
        <v>313</v>
      </c>
      <c r="I13" s="411">
        <v>6</v>
      </c>
      <c r="J13" s="412" t="s">
        <v>327</v>
      </c>
      <c r="K13" s="410">
        <v>9</v>
      </c>
      <c r="L13" s="411" t="s">
        <v>313</v>
      </c>
      <c r="M13" s="411">
        <v>13</v>
      </c>
      <c r="N13" s="412" t="s">
        <v>324</v>
      </c>
      <c r="O13" s="410">
        <v>13</v>
      </c>
      <c r="P13" s="411" t="s">
        <v>313</v>
      </c>
      <c r="Q13" s="411">
        <v>7</v>
      </c>
      <c r="R13" s="412" t="s">
        <v>323</v>
      </c>
      <c r="S13" s="410"/>
      <c r="T13" s="411"/>
      <c r="U13" s="411"/>
      <c r="V13" s="412"/>
      <c r="W13" s="413">
        <f t="shared" si="0"/>
        <v>2</v>
      </c>
      <c r="X13" s="414">
        <v>18</v>
      </c>
      <c r="Y13" s="414">
        <v>68</v>
      </c>
      <c r="Z13" s="410">
        <f t="shared" si="1"/>
        <v>42</v>
      </c>
      <c r="AA13" s="411" t="s">
        <v>313</v>
      </c>
      <c r="AB13" s="415">
        <f t="shared" si="2"/>
        <v>39</v>
      </c>
      <c r="AC13" s="416">
        <f t="shared" si="3"/>
        <v>3</v>
      </c>
      <c r="AD13" s="417">
        <f t="shared" si="11"/>
        <v>160</v>
      </c>
      <c r="AE13" s="418">
        <f>IFERROR(INDEX(V!$R:$R,MATCH(AF13,V!$L:$L,0)),"")</f>
        <v>114</v>
      </c>
      <c r="AF13" s="419" t="str">
        <f t="shared" si="5"/>
        <v>Elmo Lageda</v>
      </c>
      <c r="AG13" s="418">
        <f>IFERROR(INDEX(V!$R:$R,MATCH(AH13,V!$L:$L,0)),"")</f>
        <v>46</v>
      </c>
      <c r="AH13" s="419" t="str">
        <f t="shared" si="6"/>
        <v>Meelis Luud</v>
      </c>
      <c r="AI13" s="418" t="str">
        <f>IFERROR(INDEX(V!$R:$R,MATCH(AJ13,V!$L:$L,0)),"")</f>
        <v/>
      </c>
      <c r="AJ13" s="419" t="str">
        <f t="shared" si="7"/>
        <v/>
      </c>
      <c r="AK13" s="418" t="str">
        <f>IFERROR(INDEX(V!$R:$R,MATCH(AL13,V!$L:$L,0)),"")</f>
        <v/>
      </c>
      <c r="AL13" s="419" t="str">
        <f t="shared" si="8"/>
        <v/>
      </c>
      <c r="AM13" s="418" t="str">
        <f>IFERROR(INDEX(V!$R:$R,MATCH(AN13,V!$L:$L,0)),"")</f>
        <v/>
      </c>
      <c r="AN13" s="419" t="str">
        <f t="shared" si="9"/>
        <v/>
      </c>
      <c r="AO13" s="418" t="str">
        <f>IFERROR(INDEX(V!$R:$R,MATCH(AP13,V!$L:$L,0)),"")</f>
        <v/>
      </c>
      <c r="AP13" s="419" t="str">
        <f t="shared" si="10"/>
        <v/>
      </c>
    </row>
    <row r="14" spans="1:42" x14ac:dyDescent="0.2">
      <c r="A14" s="408">
        <v>8</v>
      </c>
      <c r="B14" s="422" t="s">
        <v>326</v>
      </c>
      <c r="C14" s="410">
        <v>4</v>
      </c>
      <c r="D14" s="411" t="s">
        <v>313</v>
      </c>
      <c r="E14" s="411">
        <v>13</v>
      </c>
      <c r="F14" s="412" t="s">
        <v>319</v>
      </c>
      <c r="G14" s="410">
        <v>13</v>
      </c>
      <c r="H14" s="411" t="s">
        <v>313</v>
      </c>
      <c r="I14" s="411">
        <v>7</v>
      </c>
      <c r="J14" s="412" t="s">
        <v>322</v>
      </c>
      <c r="K14" s="410">
        <v>13</v>
      </c>
      <c r="L14" s="411" t="s">
        <v>313</v>
      </c>
      <c r="M14" s="411">
        <v>4</v>
      </c>
      <c r="N14" s="412" t="s">
        <v>328</v>
      </c>
      <c r="O14" s="410">
        <v>9</v>
      </c>
      <c r="P14" s="411" t="s">
        <v>313</v>
      </c>
      <c r="Q14" s="411">
        <v>13</v>
      </c>
      <c r="R14" s="412" t="s">
        <v>324</v>
      </c>
      <c r="S14" s="410"/>
      <c r="T14" s="411"/>
      <c r="U14" s="411"/>
      <c r="V14" s="412"/>
      <c r="W14" s="413">
        <f t="shared" si="0"/>
        <v>2</v>
      </c>
      <c r="X14" s="414">
        <v>14</v>
      </c>
      <c r="Y14" s="414">
        <v>64</v>
      </c>
      <c r="Z14" s="410">
        <f t="shared" si="1"/>
        <v>39</v>
      </c>
      <c r="AA14" s="411" t="s">
        <v>313</v>
      </c>
      <c r="AB14" s="415">
        <f t="shared" si="2"/>
        <v>37</v>
      </c>
      <c r="AC14" s="416">
        <f t="shared" si="3"/>
        <v>2</v>
      </c>
      <c r="AD14" s="417">
        <f t="shared" ref="AD14:AD15" si="12">SUM(AE14:AL14)</f>
        <v>24</v>
      </c>
      <c r="AE14" s="418">
        <f>IFERROR(INDEX(V!$R:$R,MATCH(AF14,V!$L:$L,0)),"")</f>
        <v>12</v>
      </c>
      <c r="AF14" s="419" t="str">
        <f t="shared" si="5"/>
        <v>Aarne Välja</v>
      </c>
      <c r="AG14" s="418">
        <f>IFERROR(INDEX(V!$R:$R,MATCH(AH14,V!$L:$L,0)),"")</f>
        <v>12</v>
      </c>
      <c r="AH14" s="419" t="str">
        <f t="shared" si="6"/>
        <v>Janek Tarto</v>
      </c>
      <c r="AI14" s="418" t="str">
        <f>IFERROR(INDEX(V!$R:$R,MATCH(AJ14,V!$L:$L,0)),"")</f>
        <v/>
      </c>
      <c r="AJ14" s="419" t="str">
        <f t="shared" si="7"/>
        <v/>
      </c>
      <c r="AK14" s="418" t="str">
        <f>IFERROR(INDEX(V!$R:$R,MATCH(AL14,V!$L:$L,0)),"")</f>
        <v/>
      </c>
      <c r="AL14" s="419" t="str">
        <f t="shared" si="8"/>
        <v/>
      </c>
      <c r="AM14" s="418" t="str">
        <f>IFERROR(INDEX(V!$R:$R,MATCH(AN14,V!$L:$L,0)),"")</f>
        <v/>
      </c>
      <c r="AN14" s="419" t="str">
        <f t="shared" si="9"/>
        <v/>
      </c>
      <c r="AO14" s="418" t="str">
        <f>IFERROR(INDEX(V!$R:$R,MATCH(AP14,V!$L:$L,0)),"")</f>
        <v/>
      </c>
      <c r="AP14" s="419" t="str">
        <f t="shared" si="10"/>
        <v/>
      </c>
    </row>
    <row r="15" spans="1:42" x14ac:dyDescent="0.2">
      <c r="A15" s="408">
        <v>9</v>
      </c>
      <c r="B15" s="421" t="s">
        <v>322</v>
      </c>
      <c r="C15" s="410">
        <v>2</v>
      </c>
      <c r="D15" s="411" t="s">
        <v>313</v>
      </c>
      <c r="E15" s="411">
        <v>13</v>
      </c>
      <c r="F15" s="412" t="s">
        <v>320</v>
      </c>
      <c r="G15" s="410">
        <v>7</v>
      </c>
      <c r="H15" s="411" t="s">
        <v>313</v>
      </c>
      <c r="I15" s="411">
        <v>13</v>
      </c>
      <c r="J15" s="412" t="s">
        <v>326</v>
      </c>
      <c r="K15" s="410">
        <v>13</v>
      </c>
      <c r="L15" s="411" t="s">
        <v>313</v>
      </c>
      <c r="M15" s="411">
        <v>7</v>
      </c>
      <c r="N15" s="412" t="s">
        <v>315</v>
      </c>
      <c r="O15" s="410">
        <v>13</v>
      </c>
      <c r="P15" s="411" t="s">
        <v>313</v>
      </c>
      <c r="Q15" s="411">
        <v>3</v>
      </c>
      <c r="R15" s="412" t="s">
        <v>328</v>
      </c>
      <c r="S15" s="410"/>
      <c r="T15" s="411"/>
      <c r="U15" s="411"/>
      <c r="V15" s="412"/>
      <c r="W15" s="413">
        <f t="shared" si="0"/>
        <v>2</v>
      </c>
      <c r="X15" s="414">
        <v>12</v>
      </c>
      <c r="Y15" s="414">
        <v>42</v>
      </c>
      <c r="Z15" s="410">
        <f t="shared" si="1"/>
        <v>35</v>
      </c>
      <c r="AA15" s="411" t="s">
        <v>313</v>
      </c>
      <c r="AB15" s="415">
        <f t="shared" si="2"/>
        <v>36</v>
      </c>
      <c r="AC15" s="416">
        <f t="shared" si="3"/>
        <v>-1</v>
      </c>
      <c r="AD15" s="417">
        <f t="shared" si="12"/>
        <v>302</v>
      </c>
      <c r="AE15" s="418">
        <f>IFERROR(INDEX(V!$R:$R,MATCH(AF15,V!$L:$L,0)),"")</f>
        <v>152</v>
      </c>
      <c r="AF15" s="419" t="str">
        <f t="shared" si="5"/>
        <v>Andrei Grintšak</v>
      </c>
      <c r="AG15" s="418">
        <f>IFERROR(INDEX(V!$R:$R,MATCH(AH15,V!$L:$L,0)),"")</f>
        <v>150</v>
      </c>
      <c r="AH15" s="419" t="str">
        <f t="shared" si="6"/>
        <v>Enn Tokman</v>
      </c>
      <c r="AI15" s="418" t="str">
        <f>IFERROR(INDEX(V!$R:$R,MATCH(AJ15,V!$L:$L,0)),"")</f>
        <v/>
      </c>
      <c r="AJ15" s="419" t="str">
        <f t="shared" si="7"/>
        <v/>
      </c>
      <c r="AK15" s="418" t="str">
        <f>IFERROR(INDEX(V!$R:$R,MATCH(AL15,V!$L:$L,0)),"")</f>
        <v/>
      </c>
      <c r="AL15" s="419" t="str">
        <f t="shared" si="8"/>
        <v/>
      </c>
      <c r="AM15" s="418" t="str">
        <f>IFERROR(INDEX(V!$R:$R,MATCH(AN15,V!$L:$L,0)),"")</f>
        <v/>
      </c>
      <c r="AN15" s="419" t="str">
        <f t="shared" si="9"/>
        <v/>
      </c>
      <c r="AO15" s="418" t="str">
        <f>IFERROR(INDEX(V!$R:$R,MATCH(AP15,V!$L:$L,0)),"")</f>
        <v/>
      </c>
      <c r="AP15" s="419" t="str">
        <f t="shared" si="10"/>
        <v/>
      </c>
    </row>
    <row r="16" spans="1:42" x14ac:dyDescent="0.2">
      <c r="A16" s="408">
        <v>10</v>
      </c>
      <c r="B16" s="422" t="s">
        <v>319</v>
      </c>
      <c r="C16" s="410">
        <v>13</v>
      </c>
      <c r="D16" s="411" t="s">
        <v>313</v>
      </c>
      <c r="E16" s="411">
        <v>4</v>
      </c>
      <c r="F16" s="412" t="s">
        <v>326</v>
      </c>
      <c r="G16" s="410">
        <v>9</v>
      </c>
      <c r="H16" s="411" t="s">
        <v>313</v>
      </c>
      <c r="I16" s="411">
        <v>11</v>
      </c>
      <c r="J16" s="412" t="s">
        <v>317</v>
      </c>
      <c r="K16" s="410">
        <v>3</v>
      </c>
      <c r="L16" s="411" t="s">
        <v>313</v>
      </c>
      <c r="M16" s="411">
        <v>13</v>
      </c>
      <c r="N16" s="412" t="s">
        <v>321</v>
      </c>
      <c r="O16" s="410">
        <v>1</v>
      </c>
      <c r="P16" s="411" t="s">
        <v>313</v>
      </c>
      <c r="Q16" s="411">
        <v>13</v>
      </c>
      <c r="R16" s="412" t="s">
        <v>325</v>
      </c>
      <c r="S16" s="410"/>
      <c r="T16" s="411"/>
      <c r="U16" s="411"/>
      <c r="V16" s="412"/>
      <c r="W16" s="413">
        <f t="shared" si="0"/>
        <v>1</v>
      </c>
      <c r="X16" s="414">
        <v>24</v>
      </c>
      <c r="Y16" s="414">
        <v>58</v>
      </c>
      <c r="Z16" s="410">
        <f t="shared" ref="Z16:Z19" si="13">C16+G16+K16+O16+S16</f>
        <v>26</v>
      </c>
      <c r="AA16" s="411" t="s">
        <v>313</v>
      </c>
      <c r="AB16" s="415">
        <f t="shared" ref="AB16:AB19" si="14">E16+I16+M16+Q16+U16</f>
        <v>41</v>
      </c>
      <c r="AC16" s="416">
        <f t="shared" ref="AC16:AC19" si="15">Z16-AB16</f>
        <v>-15</v>
      </c>
      <c r="AD16" s="417">
        <f t="shared" ref="AD16:AD19" si="16">SUM(AE16:AL16)</f>
        <v>222</v>
      </c>
      <c r="AE16" s="418">
        <f>IFERROR(INDEX(V!$R:$R,MATCH(AF16,V!$L:$L,0)),"")</f>
        <v>156</v>
      </c>
      <c r="AF16" s="419" t="str">
        <f t="shared" si="5"/>
        <v>Aleksander Korikov</v>
      </c>
      <c r="AG16" s="418">
        <f>IFERROR(INDEX(V!$R:$R,MATCH(AH16,V!$L:$L,0)),"")</f>
        <v>66</v>
      </c>
      <c r="AH16" s="419" t="str">
        <f t="shared" si="6"/>
        <v>Oksana Rõndenkova</v>
      </c>
      <c r="AI16" s="418" t="str">
        <f>IFERROR(INDEX(V!$R:$R,MATCH(AJ16,V!$L:$L,0)),"")</f>
        <v/>
      </c>
      <c r="AJ16" s="419" t="str">
        <f t="shared" si="7"/>
        <v/>
      </c>
      <c r="AK16" s="418" t="str">
        <f>IFERROR(INDEX(V!$R:$R,MATCH(AL16,V!$L:$L,0)),"")</f>
        <v/>
      </c>
      <c r="AL16" s="419" t="str">
        <f t="shared" si="8"/>
        <v/>
      </c>
      <c r="AM16" s="418" t="str">
        <f>IFERROR(INDEX(V!$R:$R,MATCH(AN16,V!$L:$L,0)),"")</f>
        <v/>
      </c>
      <c r="AN16" s="419" t="str">
        <f t="shared" si="9"/>
        <v/>
      </c>
      <c r="AO16" s="418" t="str">
        <f>IFERROR(INDEX(V!$R:$R,MATCH(AP16,V!$L:$L,0)),"")</f>
        <v/>
      </c>
      <c r="AP16" s="419" t="str">
        <f t="shared" si="10"/>
        <v/>
      </c>
    </row>
    <row r="17" spans="1:42" x14ac:dyDescent="0.2">
      <c r="A17" s="408">
        <v>11</v>
      </c>
      <c r="B17" s="421" t="s">
        <v>323</v>
      </c>
      <c r="C17" s="410">
        <v>13</v>
      </c>
      <c r="D17" s="411" t="s">
        <v>313</v>
      </c>
      <c r="E17" s="411">
        <v>1</v>
      </c>
      <c r="F17" s="412" t="s">
        <v>328</v>
      </c>
      <c r="G17" s="410">
        <v>1</v>
      </c>
      <c r="H17" s="411" t="s">
        <v>313</v>
      </c>
      <c r="I17" s="411">
        <v>13</v>
      </c>
      <c r="J17" s="412" t="s">
        <v>320</v>
      </c>
      <c r="K17" s="410">
        <v>7</v>
      </c>
      <c r="L17" s="411" t="s">
        <v>313</v>
      </c>
      <c r="M17" s="411">
        <v>13</v>
      </c>
      <c r="N17" s="412" t="s">
        <v>314</v>
      </c>
      <c r="O17" s="410">
        <v>7</v>
      </c>
      <c r="P17" s="411" t="s">
        <v>313</v>
      </c>
      <c r="Q17" s="411">
        <v>13</v>
      </c>
      <c r="R17" s="412" t="s">
        <v>318</v>
      </c>
      <c r="S17" s="410"/>
      <c r="T17" s="411"/>
      <c r="U17" s="411"/>
      <c r="V17" s="412"/>
      <c r="W17" s="413">
        <f t="shared" si="0"/>
        <v>1</v>
      </c>
      <c r="X17" s="414">
        <v>16</v>
      </c>
      <c r="Y17" s="414">
        <v>66</v>
      </c>
      <c r="Z17" s="410">
        <f t="shared" si="13"/>
        <v>28</v>
      </c>
      <c r="AA17" s="411" t="s">
        <v>313</v>
      </c>
      <c r="AB17" s="415">
        <f t="shared" si="14"/>
        <v>40</v>
      </c>
      <c r="AC17" s="416">
        <f t="shared" si="15"/>
        <v>-12</v>
      </c>
      <c r="AD17" s="417">
        <f t="shared" si="16"/>
        <v>308</v>
      </c>
      <c r="AE17" s="418">
        <f>IFERROR(INDEX(V!$R:$R,MATCH(AF17,V!$L:$L,0)),"")</f>
        <v>154</v>
      </c>
      <c r="AF17" s="419" t="str">
        <f t="shared" si="5"/>
        <v>Kristel Tihhonjuk</v>
      </c>
      <c r="AG17" s="418">
        <f>IFERROR(INDEX(V!$R:$R,MATCH(AH17,V!$L:$L,0)),"")</f>
        <v>154</v>
      </c>
      <c r="AH17" s="419" t="str">
        <f t="shared" si="6"/>
        <v>Vadim Tihhonjuk</v>
      </c>
      <c r="AI17" s="418" t="str">
        <f>IFERROR(INDEX(V!$R:$R,MATCH(AJ17,V!$L:$L,0)),"")</f>
        <v/>
      </c>
      <c r="AJ17" s="419" t="str">
        <f t="shared" si="7"/>
        <v/>
      </c>
      <c r="AK17" s="418" t="str">
        <f>IFERROR(INDEX(V!$R:$R,MATCH(AL17,V!$L:$L,0)),"")</f>
        <v/>
      </c>
      <c r="AL17" s="419" t="str">
        <f t="shared" si="8"/>
        <v/>
      </c>
      <c r="AM17" s="418" t="str">
        <f>IFERROR(INDEX(V!$R:$R,MATCH(AN17,V!$L:$L,0)),"")</f>
        <v/>
      </c>
      <c r="AN17" s="419" t="str">
        <f t="shared" si="9"/>
        <v/>
      </c>
      <c r="AO17" s="418" t="str">
        <f>IFERROR(INDEX(V!$R:$R,MATCH(AP17,V!$L:$L,0)),"")</f>
        <v/>
      </c>
      <c r="AP17" s="419" t="str">
        <f t="shared" si="10"/>
        <v/>
      </c>
    </row>
    <row r="18" spans="1:42" x14ac:dyDescent="0.2">
      <c r="A18" s="408">
        <v>12</v>
      </c>
      <c r="B18" s="422" t="s">
        <v>327</v>
      </c>
      <c r="C18" s="410">
        <v>9</v>
      </c>
      <c r="D18" s="411" t="s">
        <v>313</v>
      </c>
      <c r="E18" s="411">
        <v>13</v>
      </c>
      <c r="F18" s="412" t="s">
        <v>321</v>
      </c>
      <c r="G18" s="410">
        <v>6</v>
      </c>
      <c r="H18" s="411" t="s">
        <v>313</v>
      </c>
      <c r="I18" s="411">
        <v>13</v>
      </c>
      <c r="J18" s="412" t="s">
        <v>318</v>
      </c>
      <c r="K18" s="410">
        <v>6</v>
      </c>
      <c r="L18" s="411" t="s">
        <v>313</v>
      </c>
      <c r="M18" s="411">
        <v>13</v>
      </c>
      <c r="N18" s="412" t="s">
        <v>325</v>
      </c>
      <c r="O18" s="410">
        <v>13</v>
      </c>
      <c r="P18" s="411" t="s">
        <v>313</v>
      </c>
      <c r="Q18" s="411">
        <v>7</v>
      </c>
      <c r="R18" s="412" t="s">
        <v>315</v>
      </c>
      <c r="S18" s="410"/>
      <c r="T18" s="411"/>
      <c r="U18" s="411"/>
      <c r="V18" s="412"/>
      <c r="W18" s="413">
        <f t="shared" si="0"/>
        <v>1</v>
      </c>
      <c r="X18" s="414">
        <v>16</v>
      </c>
      <c r="Y18" s="414">
        <v>44</v>
      </c>
      <c r="Z18" s="410">
        <f t="shared" si="13"/>
        <v>34</v>
      </c>
      <c r="AA18" s="411" t="s">
        <v>313</v>
      </c>
      <c r="AB18" s="415">
        <f t="shared" si="14"/>
        <v>46</v>
      </c>
      <c r="AC18" s="416">
        <f t="shared" si="15"/>
        <v>-12</v>
      </c>
      <c r="AD18" s="417">
        <f t="shared" si="16"/>
        <v>114</v>
      </c>
      <c r="AE18" s="418">
        <f>IFERROR(INDEX(V!$R:$R,MATCH(AF18,V!$L:$L,0)),"")</f>
        <v>22</v>
      </c>
      <c r="AF18" s="419" t="str">
        <f t="shared" si="5"/>
        <v>Lemmit Toomra</v>
      </c>
      <c r="AG18" s="418">
        <f>IFERROR(INDEX(V!$R:$R,MATCH(AH18,V!$L:$L,0)),"")</f>
        <v>92</v>
      </c>
      <c r="AH18" s="419" t="str">
        <f t="shared" si="6"/>
        <v>Liidia Põllu</v>
      </c>
      <c r="AI18" s="418" t="str">
        <f>IFERROR(INDEX(V!$R:$R,MATCH(AJ18,V!$L:$L,0)),"")</f>
        <v/>
      </c>
      <c r="AJ18" s="419" t="str">
        <f t="shared" si="7"/>
        <v/>
      </c>
      <c r="AK18" s="418" t="str">
        <f>IFERROR(INDEX(V!$R:$R,MATCH(AL18,V!$L:$L,0)),"")</f>
        <v/>
      </c>
      <c r="AL18" s="419" t="str">
        <f t="shared" si="8"/>
        <v/>
      </c>
      <c r="AM18" s="418" t="str">
        <f>IFERROR(INDEX(V!$R:$R,MATCH(AN18,V!$L:$L,0)),"")</f>
        <v/>
      </c>
      <c r="AN18" s="419" t="str">
        <f t="shared" si="9"/>
        <v/>
      </c>
      <c r="AO18" s="418" t="str">
        <f>IFERROR(INDEX(V!$R:$R,MATCH(AP18,V!$L:$L,0)),"")</f>
        <v/>
      </c>
      <c r="AP18" s="419" t="str">
        <f t="shared" si="10"/>
        <v/>
      </c>
    </row>
    <row r="19" spans="1:42" x14ac:dyDescent="0.2">
      <c r="A19" s="408">
        <v>13</v>
      </c>
      <c r="B19" s="421" t="s">
        <v>328</v>
      </c>
      <c r="C19" s="410">
        <v>1</v>
      </c>
      <c r="D19" s="411" t="s">
        <v>313</v>
      </c>
      <c r="E19" s="411">
        <v>13</v>
      </c>
      <c r="F19" s="412" t="s">
        <v>323</v>
      </c>
      <c r="G19" s="410">
        <v>13</v>
      </c>
      <c r="H19" s="411" t="s">
        <v>313</v>
      </c>
      <c r="I19" s="411">
        <v>7</v>
      </c>
      <c r="J19" s="412" t="s">
        <v>315</v>
      </c>
      <c r="K19" s="410">
        <v>4</v>
      </c>
      <c r="L19" s="411" t="s">
        <v>313</v>
      </c>
      <c r="M19" s="411">
        <v>13</v>
      </c>
      <c r="N19" s="412" t="s">
        <v>326</v>
      </c>
      <c r="O19" s="410">
        <v>3</v>
      </c>
      <c r="P19" s="411" t="s">
        <v>313</v>
      </c>
      <c r="Q19" s="411">
        <v>13</v>
      </c>
      <c r="R19" s="412" t="s">
        <v>322</v>
      </c>
      <c r="S19" s="410"/>
      <c r="T19" s="411"/>
      <c r="U19" s="411"/>
      <c r="V19" s="412"/>
      <c r="W19" s="413">
        <f t="shared" si="0"/>
        <v>1</v>
      </c>
      <c r="X19" s="414">
        <v>10</v>
      </c>
      <c r="Y19" s="414">
        <v>42</v>
      </c>
      <c r="Z19" s="410">
        <f t="shared" si="13"/>
        <v>21</v>
      </c>
      <c r="AA19" s="411" t="s">
        <v>313</v>
      </c>
      <c r="AB19" s="415">
        <f t="shared" si="14"/>
        <v>46</v>
      </c>
      <c r="AC19" s="416">
        <f t="shared" si="15"/>
        <v>-25</v>
      </c>
      <c r="AD19" s="417">
        <f t="shared" si="16"/>
        <v>132</v>
      </c>
      <c r="AE19" s="418">
        <f>IFERROR(INDEX(V!$R:$R,MATCH(AF19,V!$L:$L,0)),"")</f>
        <v>94</v>
      </c>
      <c r="AF19" s="419" t="str">
        <f t="shared" si="5"/>
        <v>Johannes Neiland</v>
      </c>
      <c r="AG19" s="418">
        <f>IFERROR(INDEX(V!$R:$R,MATCH(AH19,V!$L:$L,0)),"")</f>
        <v>38</v>
      </c>
      <c r="AH19" s="419" t="str">
        <f t="shared" si="6"/>
        <v>Tõnu Kapper</v>
      </c>
      <c r="AI19" s="418" t="str">
        <f>IFERROR(INDEX(V!$R:$R,MATCH(AJ19,V!$L:$L,0)),"")</f>
        <v/>
      </c>
      <c r="AJ19" s="419" t="str">
        <f t="shared" si="7"/>
        <v/>
      </c>
      <c r="AK19" s="418" t="str">
        <f>IFERROR(INDEX(V!$R:$R,MATCH(AL19,V!$L:$L,0)),"")</f>
        <v/>
      </c>
      <c r="AL19" s="419" t="str">
        <f t="shared" si="8"/>
        <v/>
      </c>
      <c r="AM19" s="418" t="str">
        <f>IFERROR(INDEX(V!$R:$R,MATCH(AN19,V!$L:$L,0)),"")</f>
        <v/>
      </c>
      <c r="AN19" s="419" t="str">
        <f t="shared" si="9"/>
        <v/>
      </c>
      <c r="AO19" s="418" t="str">
        <f>IFERROR(INDEX(V!$R:$R,MATCH(AP19,V!$L:$L,0)),"")</f>
        <v/>
      </c>
      <c r="AP19" s="419" t="str">
        <f t="shared" si="10"/>
        <v/>
      </c>
    </row>
    <row r="22" spans="1:42" hidden="1" x14ac:dyDescent="0.2"/>
    <row r="23" spans="1:42" hidden="1" x14ac:dyDescent="0.2"/>
    <row r="24" spans="1:42" hidden="1" x14ac:dyDescent="0.2"/>
    <row r="25" spans="1:42" hidden="1" x14ac:dyDescent="0.2"/>
    <row r="26" spans="1:42" hidden="1" x14ac:dyDescent="0.2"/>
    <row r="27" spans="1:42" hidden="1" x14ac:dyDescent="0.2"/>
    <row r="28" spans="1:42" hidden="1" x14ac:dyDescent="0.2"/>
    <row r="29" spans="1:42" hidden="1" x14ac:dyDescent="0.2"/>
    <row r="30" spans="1:42" hidden="1" x14ac:dyDescent="0.2"/>
    <row r="31" spans="1:42" hidden="1" x14ac:dyDescent="0.2"/>
    <row r="32" spans="1:4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6" hidden="1" x14ac:dyDescent="0.2"/>
    <row r="290" spans="1:6" hidden="1" x14ac:dyDescent="0.2"/>
    <row r="291" spans="1:6" hidden="1" x14ac:dyDescent="0.2"/>
    <row r="292" spans="1:6" hidden="1" x14ac:dyDescent="0.2"/>
    <row r="293" spans="1:6" hidden="1" x14ac:dyDescent="0.2"/>
    <row r="294" spans="1:6" hidden="1" x14ac:dyDescent="0.2"/>
    <row r="295" spans="1:6" hidden="1" x14ac:dyDescent="0.2"/>
    <row r="296" spans="1:6" hidden="1" x14ac:dyDescent="0.2"/>
    <row r="297" spans="1:6" hidden="1" x14ac:dyDescent="0.2"/>
    <row r="298" spans="1:6" hidden="1" x14ac:dyDescent="0.2"/>
    <row r="299" spans="1:6" x14ac:dyDescent="0.2">
      <c r="A299" s="378"/>
      <c r="B299" s="378"/>
      <c r="C299" s="423" t="s">
        <v>316</v>
      </c>
      <c r="F299" s="424"/>
    </row>
    <row r="300" spans="1:6" x14ac:dyDescent="0.2">
      <c r="A300" s="425">
        <v>1</v>
      </c>
      <c r="B300" s="426" t="str">
        <f t="shared" ref="B300:B308" si="17">IFERROR(INDEX(B$1:B$95,MATCH(A300,A$1:A$95,0)),"")</f>
        <v>Kenneth Muusikus, Tõnis Neiland</v>
      </c>
      <c r="C300" s="427">
        <f>LARGE(A300:A400,1)*2+2-A300*2</f>
        <v>26</v>
      </c>
      <c r="F300" s="424"/>
    </row>
    <row r="301" spans="1:6" x14ac:dyDescent="0.2">
      <c r="A301" s="425">
        <v>2</v>
      </c>
      <c r="B301" s="426" t="str">
        <f t="shared" si="17"/>
        <v>Ivar Viljaste, Kristo Viljaste</v>
      </c>
      <c r="C301" s="427">
        <f t="shared" ref="C301:C308" si="18">LARGE(A301:A401,1)*2+2-A301*2</f>
        <v>24</v>
      </c>
      <c r="F301" s="424"/>
    </row>
    <row r="302" spans="1:6" x14ac:dyDescent="0.2">
      <c r="A302" s="425">
        <v>3</v>
      </c>
      <c r="B302" s="426" t="str">
        <f t="shared" si="17"/>
        <v>Oleg Rõndenkov, Sander Rose</v>
      </c>
      <c r="C302" s="427">
        <f t="shared" si="18"/>
        <v>22</v>
      </c>
      <c r="F302" s="424"/>
    </row>
    <row r="303" spans="1:6" x14ac:dyDescent="0.2">
      <c r="A303" s="425">
        <v>4</v>
      </c>
      <c r="B303" s="426" t="str">
        <f t="shared" si="17"/>
        <v>Kaspar Mänd, Olav Türk</v>
      </c>
      <c r="C303" s="427">
        <f t="shared" si="18"/>
        <v>20</v>
      </c>
      <c r="F303" s="424"/>
    </row>
    <row r="304" spans="1:6" x14ac:dyDescent="0.2">
      <c r="A304" s="425">
        <v>5</v>
      </c>
      <c r="B304" s="426" t="str">
        <f t="shared" si="17"/>
        <v>Henri Mitt, Urmas Randlaine</v>
      </c>
      <c r="C304" s="427">
        <f t="shared" si="18"/>
        <v>18</v>
      </c>
      <c r="F304" s="424"/>
    </row>
    <row r="305" spans="1:6" x14ac:dyDescent="0.2">
      <c r="A305" s="425">
        <v>6</v>
      </c>
      <c r="B305" s="426" t="str">
        <f t="shared" si="17"/>
        <v>Jaan Saar, Sirje Maala</v>
      </c>
      <c r="C305" s="427">
        <f t="shared" si="18"/>
        <v>16</v>
      </c>
      <c r="F305" s="424"/>
    </row>
    <row r="306" spans="1:6" x14ac:dyDescent="0.2">
      <c r="A306" s="425">
        <v>7</v>
      </c>
      <c r="B306" s="426" t="str">
        <f t="shared" si="17"/>
        <v>Elmo Lageda, Meelis Luud</v>
      </c>
      <c r="C306" s="427">
        <f t="shared" si="18"/>
        <v>14</v>
      </c>
      <c r="F306" s="424"/>
    </row>
    <row r="307" spans="1:6" x14ac:dyDescent="0.2">
      <c r="A307" s="425">
        <v>8</v>
      </c>
      <c r="B307" s="426" t="str">
        <f t="shared" si="17"/>
        <v>Aarne Välja, Janek Tarto</v>
      </c>
      <c r="C307" s="427">
        <f t="shared" si="18"/>
        <v>12</v>
      </c>
      <c r="F307" s="424"/>
    </row>
    <row r="308" spans="1:6" x14ac:dyDescent="0.2">
      <c r="A308" s="425">
        <v>9</v>
      </c>
      <c r="B308" s="426" t="str">
        <f t="shared" si="17"/>
        <v>Andrei Grintšak, Enn Tokman</v>
      </c>
      <c r="C308" s="427">
        <f t="shared" si="18"/>
        <v>10</v>
      </c>
      <c r="F308" s="424"/>
    </row>
    <row r="309" spans="1:6" x14ac:dyDescent="0.2">
      <c r="A309" s="425">
        <v>10</v>
      </c>
      <c r="B309" s="426" t="str">
        <f t="shared" ref="B309:B312" si="19">IFERROR(INDEX(B$1:B$95,MATCH(A309,A$1:A$95,0)),"")</f>
        <v>Aleksander Korikov, Oksana Rõndenkova</v>
      </c>
      <c r="C309" s="427">
        <f t="shared" ref="C309:C312" si="20">LARGE(A309:A409,1)*2+2-A309*2</f>
        <v>8</v>
      </c>
    </row>
    <row r="310" spans="1:6" x14ac:dyDescent="0.2">
      <c r="A310" s="425">
        <v>11</v>
      </c>
      <c r="B310" s="426" t="str">
        <f t="shared" si="19"/>
        <v>Kristel Tihhonjuk, Vadim Tihhonjuk</v>
      </c>
      <c r="C310" s="427">
        <f t="shared" si="20"/>
        <v>6</v>
      </c>
    </row>
    <row r="311" spans="1:6" x14ac:dyDescent="0.2">
      <c r="A311" s="425">
        <v>12</v>
      </c>
      <c r="B311" s="426" t="str">
        <f t="shared" si="19"/>
        <v>Lemmit Toomra, Liidia Põllu</v>
      </c>
      <c r="C311" s="427">
        <f t="shared" si="20"/>
        <v>4</v>
      </c>
    </row>
    <row r="312" spans="1:6" x14ac:dyDescent="0.2">
      <c r="A312" s="425">
        <v>13</v>
      </c>
      <c r="B312" s="426" t="str">
        <f t="shared" si="19"/>
        <v>Johannes Neiland, Tõnu Kapper</v>
      </c>
      <c r="C312" s="427">
        <f t="shared" si="20"/>
        <v>2</v>
      </c>
    </row>
  </sheetData>
  <conditionalFormatting sqref="AJ7:AJ19 AH7:AH19 AL7:AL19">
    <cfRule type="expression" dxfId="602" priority="36">
      <formula>AND(AG7="",FIND(",",AH7))</formula>
    </cfRule>
    <cfRule type="expression" dxfId="601" priority="38">
      <formula>AND(AG7="",COUNTIF(AH7,"*,*")=0)</formula>
    </cfRule>
  </conditionalFormatting>
  <conditionalFormatting sqref="AF7:AF19">
    <cfRule type="expression" dxfId="600" priority="37">
      <formula>AND(AE7="",COUNTIF(AF7,"*,*")=0)</formula>
    </cfRule>
  </conditionalFormatting>
  <conditionalFormatting sqref="AN7:AN19 AP7:AP19">
    <cfRule type="expression" dxfId="599" priority="34">
      <formula>AND(AM7="",COUNTIF(AN7,"*,*")=0)</formula>
    </cfRule>
    <cfRule type="expression" dxfId="598" priority="35">
      <formula>AND(AM7="",FIND(",",AN7))</formula>
    </cfRule>
  </conditionalFormatting>
  <conditionalFormatting sqref="B300:B312">
    <cfRule type="expression" dxfId="597" priority="39">
      <formula>A300=3</formula>
    </cfRule>
    <cfRule type="expression" dxfId="596" priority="40">
      <formula>A300=2</formula>
    </cfRule>
    <cfRule type="expression" dxfId="595" priority="41">
      <formula>A300=1</formula>
    </cfRule>
    <cfRule type="containsBlanks" dxfId="594" priority="42">
      <formula>LEN(TRIM(B300))=0</formula>
    </cfRule>
    <cfRule type="duplicateValues" dxfId="593" priority="43"/>
  </conditionalFormatting>
  <conditionalFormatting sqref="A7:A19">
    <cfRule type="duplicateValues" dxfId="592" priority="33"/>
  </conditionalFormatting>
  <conditionalFormatting sqref="C7:C19">
    <cfRule type="expression" dxfId="591" priority="15">
      <formula>IF($C7&gt;$E7,TRUE)</formula>
    </cfRule>
  </conditionalFormatting>
  <conditionalFormatting sqref="E7:E19">
    <cfRule type="expression" dxfId="590" priority="16">
      <formula>IF($C7&lt;$E7,TRUE)</formula>
    </cfRule>
  </conditionalFormatting>
  <conditionalFormatting sqref="K7:K19">
    <cfRule type="expression" dxfId="589" priority="23">
      <formula>IF($K7&gt;$M7,TRUE)</formula>
    </cfRule>
  </conditionalFormatting>
  <conditionalFormatting sqref="M7:M19">
    <cfRule type="expression" dxfId="588" priority="24">
      <formula>IF($K7&lt;$M7,TRUE)</formula>
    </cfRule>
  </conditionalFormatting>
  <conditionalFormatting sqref="O7:O19">
    <cfRule type="expression" dxfId="587" priority="27">
      <formula>IF($O7&gt;$Q7,TRUE)</formula>
    </cfRule>
  </conditionalFormatting>
  <conditionalFormatting sqref="Q7:Q19">
    <cfRule type="expression" dxfId="586" priority="28">
      <formula>IF($O7&lt;$Q7,TRUE)</formula>
    </cfRule>
  </conditionalFormatting>
  <conditionalFormatting sqref="S7:S19">
    <cfRule type="expression" dxfId="585" priority="31">
      <formula>IF($S7&gt;$U7,TRUE)</formula>
    </cfRule>
  </conditionalFormatting>
  <conditionalFormatting sqref="U7:U19">
    <cfRule type="expression" dxfId="584" priority="32">
      <formula>IF($S7&lt;$U7,TRUE)</formula>
    </cfRule>
  </conditionalFormatting>
  <conditionalFormatting sqref="G7:G19">
    <cfRule type="expression" dxfId="583" priority="19">
      <formula>IF($G7&gt;$I7,TRUE)</formula>
    </cfRule>
  </conditionalFormatting>
  <conditionalFormatting sqref="I7:I19">
    <cfRule type="expression" dxfId="582" priority="20">
      <formula>IF($G7&lt;$I7,TRUE)</formula>
    </cfRule>
  </conditionalFormatting>
  <conditionalFormatting sqref="F7:F19">
    <cfRule type="containsText" dxfId="581" priority="6" operator="containsText" text="vaba voor">
      <formula>NOT(ISERROR(SEARCH("vaba voor",F7)))</formula>
    </cfRule>
  </conditionalFormatting>
  <conditionalFormatting sqref="N7:N19">
    <cfRule type="containsText" dxfId="580" priority="4" operator="containsText" text="vaba voor">
      <formula>NOT(ISERROR(SEARCH("vaba voor",N7)))</formula>
    </cfRule>
  </conditionalFormatting>
  <conditionalFormatting sqref="R7:R19">
    <cfRule type="containsText" dxfId="579" priority="7" operator="containsText" text="vaba voor">
      <formula>NOT(ISERROR(SEARCH("vaba voor",R7)))</formula>
    </cfRule>
  </conditionalFormatting>
  <conditionalFormatting sqref="V7:V19">
    <cfRule type="containsText" dxfId="578" priority="3" operator="containsText" text="vaba voor">
      <formula>NOT(ISERROR(SEARCH("vaba voor",V7)))</formula>
    </cfRule>
  </conditionalFormatting>
  <conditionalFormatting sqref="J7:J19">
    <cfRule type="containsText" dxfId="577" priority="5" operator="containsText" text="vaba voor">
      <formula>NOT(ISERROR(SEARCH("vaba voor",J7)))</formula>
    </cfRule>
  </conditionalFormatting>
  <conditionalFormatting sqref="C7:F19">
    <cfRule type="expression" dxfId="576" priority="11">
      <formula>IF(AND(ISNUMBER($C7),$C7=$E7),TRUE)</formula>
    </cfRule>
    <cfRule type="expression" dxfId="575" priority="13">
      <formula>IF($C7&gt;$E7,TRUE)</formula>
    </cfRule>
    <cfRule type="expression" dxfId="574" priority="14">
      <formula>IF($C7&lt;$E7,TRUE)</formula>
    </cfRule>
  </conditionalFormatting>
  <conditionalFormatting sqref="G7:J19">
    <cfRule type="expression" dxfId="573" priority="12">
      <formula>IF(AND(ISNUMBER($G7),$G7=$I7),TRUE)</formula>
    </cfRule>
    <cfRule type="expression" dxfId="572" priority="17">
      <formula>IF($G7&gt;$I7,TRUE)</formula>
    </cfRule>
    <cfRule type="expression" dxfId="571" priority="18">
      <formula>IF($G7&lt;$I7,TRUE)</formula>
    </cfRule>
  </conditionalFormatting>
  <conditionalFormatting sqref="K7:N19">
    <cfRule type="expression" dxfId="570" priority="10">
      <formula>IF(AND(ISNUMBER($K7),$K7=$M7),TRUE)</formula>
    </cfRule>
    <cfRule type="expression" dxfId="569" priority="21">
      <formula>IF($K7&gt;$M7,TRUE)</formula>
    </cfRule>
    <cfRule type="expression" dxfId="568" priority="22">
      <formula>IF($K7&lt;$M7,TRUE)</formula>
    </cfRule>
  </conditionalFormatting>
  <conditionalFormatting sqref="O7:R19">
    <cfRule type="expression" dxfId="567" priority="9">
      <formula>IF(AND(ISNUMBER($O7),$O7=$Q7),TRUE)</formula>
    </cfRule>
    <cfRule type="expression" dxfId="566" priority="25">
      <formula>IF($O7&gt;$Q7,TRUE)</formula>
    </cfRule>
    <cfRule type="expression" dxfId="565" priority="26">
      <formula>IF($O7&lt;$Q7,TRUE)</formula>
    </cfRule>
  </conditionalFormatting>
  <conditionalFormatting sqref="S7:V19">
    <cfRule type="expression" dxfId="564" priority="8">
      <formula>IF(AND(ISNUMBER($S7),$S7=$U7),TRUE)</formula>
    </cfRule>
    <cfRule type="expression" dxfId="563" priority="29">
      <formula>IF($S7&gt;$U7,TRUE)</formula>
    </cfRule>
    <cfRule type="expression" dxfId="562" priority="30">
      <formula>IF($S7&lt;$U7,TRUE)</formula>
    </cfRule>
  </conditionalFormatting>
  <conditionalFormatting sqref="C7:C19 G7:G19 K7:K19 O7:O19 S7:S19">
    <cfRule type="expression" dxfId="561" priority="1">
      <formula>AND(C7=0,E7=13)</formula>
    </cfRule>
  </conditionalFormatting>
  <conditionalFormatting sqref="E7:E19 I7:I19 M7:M19 Q7:Q19 U7:U19">
    <cfRule type="expression" dxfId="560" priority="2">
      <formula>AND(E7=0,C7=13)</formula>
    </cfRule>
  </conditionalFormatting>
  <pageMargins left="0.39370078740157483" right="0.39370078740157483" top="0.78740157480314965" bottom="0.39370078740157483" header="0.78740157480314965" footer="0"/>
  <pageSetup paperSize="9" fitToHeight="0" orientation="landscape" verticalDpi="1200" r:id="rId1"/>
  <headerFooter>
    <oddHeader>&amp;R&amp;P. leht &amp;N&amp; -st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P314"/>
  <sheetViews>
    <sheetView showGridLines="0" showRowColHeaders="0" workbookViewId="0">
      <pane ySplit="1" topLeftCell="A2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1" width="3.28515625" style="377" customWidth="1"/>
    <col min="2" max="2" width="35.85546875" style="377" bestFit="1" customWidth="1"/>
    <col min="3" max="3" width="4.7109375" style="377" customWidth="1"/>
    <col min="4" max="4" width="1.140625" style="377" customWidth="1"/>
    <col min="5" max="5" width="2.7109375" style="377" customWidth="1"/>
    <col min="6" max="6" width="9.140625" style="377"/>
    <col min="7" max="7" width="2.7109375" style="377" customWidth="1"/>
    <col min="8" max="8" width="1.140625" style="377" customWidth="1"/>
    <col min="9" max="9" width="2.7109375" style="377" customWidth="1"/>
    <col min="10" max="10" width="9.140625" style="377"/>
    <col min="11" max="11" width="2.7109375" style="377" customWidth="1"/>
    <col min="12" max="12" width="1.140625" style="377" customWidth="1"/>
    <col min="13" max="13" width="2.7109375" style="377" customWidth="1"/>
    <col min="14" max="14" width="9.140625" style="377"/>
    <col min="15" max="15" width="2.7109375" style="377" customWidth="1"/>
    <col min="16" max="16" width="1.140625" style="377" customWidth="1"/>
    <col min="17" max="17" width="2.7109375" style="377" customWidth="1"/>
    <col min="18" max="18" width="9.140625" style="377"/>
    <col min="19" max="19" width="2.7109375" style="377" hidden="1" customWidth="1"/>
    <col min="20" max="20" width="1.140625" style="377" hidden="1" customWidth="1"/>
    <col min="21" max="21" width="2.7109375" style="377" hidden="1" customWidth="1"/>
    <col min="22" max="22" width="0" style="377" hidden="1" customWidth="1"/>
    <col min="23" max="23" width="5.7109375" style="377" customWidth="1"/>
    <col min="24" max="24" width="5.5703125" style="377" customWidth="1"/>
    <col min="25" max="25" width="7.42578125" style="377" customWidth="1"/>
    <col min="26" max="26" width="2.7109375" style="377" customWidth="1"/>
    <col min="27" max="27" width="1.140625" style="377" customWidth="1"/>
    <col min="28" max="28" width="2.7109375" style="377" customWidth="1"/>
    <col min="29" max="29" width="4.7109375" style="377" customWidth="1"/>
    <col min="30" max="31" width="9.140625" style="377" hidden="1" customWidth="1"/>
    <col min="32" max="32" width="17" style="377" hidden="1" customWidth="1"/>
    <col min="33" max="33" width="9.140625" style="377" hidden="1" customWidth="1"/>
    <col min="34" max="34" width="18.28515625" style="377" hidden="1" customWidth="1"/>
    <col min="35" max="35" width="9.140625" style="377" hidden="1" customWidth="1"/>
    <col min="36" max="36" width="17.28515625" style="377" hidden="1" customWidth="1"/>
    <col min="37" max="37" width="9.140625" style="377" hidden="1" customWidth="1"/>
    <col min="38" max="38" width="13.85546875" style="377" hidden="1" customWidth="1"/>
    <col min="39" max="39" width="9.140625" style="377" hidden="1" customWidth="1"/>
    <col min="40" max="40" width="17.28515625" style="377" hidden="1" customWidth="1"/>
    <col min="41" max="41" width="9.140625" style="377" hidden="1" customWidth="1"/>
    <col min="42" max="42" width="13.85546875" style="377" hidden="1" customWidth="1"/>
    <col min="43" max="16384" width="9.140625" style="377"/>
  </cols>
  <sheetData>
    <row r="1" spans="1:42" x14ac:dyDescent="0.2">
      <c r="A1" s="376" t="str">
        <f>UPPER((Kalend!E6)&amp;" - "&amp;(Kalend!C6))&amp;" - "&amp;LOWER(Kalend!D6)&amp;" - "&amp;(Kalend!A6)&amp;" kell "&amp;(Kalend!B6)&amp;" - "&amp;(Kalend!F6)</f>
        <v>V2 - VOKA X KV 2. ETAPP - duo - K, 24.05.2023 kell 18:00 - Voka staadion</v>
      </c>
      <c r="O1" s="378"/>
      <c r="P1" s="378"/>
      <c r="Q1" s="379"/>
      <c r="R1" s="379"/>
      <c r="S1" s="379"/>
      <c r="T1" s="380"/>
      <c r="U1" s="380"/>
      <c r="V1" s="380"/>
      <c r="W1" s="378"/>
      <c r="X1" s="381"/>
      <c r="Y1" s="378"/>
      <c r="Z1" s="378"/>
      <c r="AD1" s="382" t="s">
        <v>133</v>
      </c>
      <c r="AE1" s="383"/>
      <c r="AF1" s="383"/>
      <c r="AG1" s="383"/>
      <c r="AH1" s="383"/>
      <c r="AI1" s="383"/>
      <c r="AJ1" s="383"/>
      <c r="AK1" s="383"/>
      <c r="AL1" s="383"/>
      <c r="AM1" s="383"/>
      <c r="AN1" s="383"/>
      <c r="AO1" s="384"/>
      <c r="AP1" s="384"/>
    </row>
    <row r="2" spans="1:42" x14ac:dyDescent="0.2">
      <c r="A2" s="385"/>
      <c r="F2" s="378"/>
      <c r="L2" s="386"/>
      <c r="M2" s="386"/>
      <c r="N2" s="386"/>
      <c r="O2" s="378"/>
      <c r="P2" s="378"/>
      <c r="Q2" s="378"/>
      <c r="R2" s="387" t="s">
        <v>292</v>
      </c>
      <c r="S2" s="378"/>
      <c r="T2" s="386"/>
      <c r="U2" s="386"/>
      <c r="V2" s="386"/>
      <c r="W2" s="388">
        <v>1</v>
      </c>
      <c r="X2" s="389" t="s">
        <v>293</v>
      </c>
      <c r="Y2" s="378"/>
      <c r="Z2" s="378"/>
      <c r="AA2" s="378"/>
      <c r="AB2" s="378"/>
      <c r="AE2" s="378"/>
      <c r="AG2" s="378"/>
      <c r="AH2" s="378"/>
      <c r="AI2" s="378"/>
      <c r="AJ2" s="378"/>
      <c r="AK2" s="378"/>
      <c r="AL2" s="378"/>
      <c r="AM2" s="378"/>
      <c r="AN2" s="378"/>
    </row>
    <row r="3" spans="1:42" x14ac:dyDescent="0.2">
      <c r="A3" s="385"/>
      <c r="F3" s="378"/>
      <c r="L3" s="378"/>
      <c r="M3" s="378"/>
      <c r="N3" s="378"/>
      <c r="O3" s="378"/>
      <c r="P3" s="378"/>
      <c r="Q3" s="378"/>
      <c r="R3" s="390" t="s">
        <v>294</v>
      </c>
      <c r="S3" s="378"/>
      <c r="T3" s="378"/>
      <c r="U3" s="378"/>
      <c r="V3" s="378"/>
      <c r="W3" s="388">
        <v>0.5</v>
      </c>
      <c r="X3" s="389" t="s">
        <v>293</v>
      </c>
      <c r="Y3" s="378"/>
      <c r="Z3" s="378"/>
      <c r="AA3" s="378"/>
      <c r="AB3" s="378"/>
      <c r="AE3" s="386"/>
      <c r="AF3" s="386"/>
      <c r="AG3" s="386"/>
      <c r="AH3" s="391"/>
      <c r="AI3" s="386"/>
      <c r="AJ3" s="386"/>
      <c r="AK3" s="386"/>
      <c r="AL3" s="386"/>
      <c r="AM3" s="386"/>
      <c r="AN3" s="386"/>
      <c r="AO3" s="386"/>
      <c r="AP3" s="386"/>
    </row>
    <row r="4" spans="1:42" x14ac:dyDescent="0.2">
      <c r="F4" s="378"/>
      <c r="L4" s="378"/>
      <c r="M4" s="378"/>
      <c r="N4" s="378"/>
      <c r="O4" s="378"/>
      <c r="P4" s="378"/>
      <c r="Q4" s="378"/>
      <c r="R4" s="392" t="s">
        <v>295</v>
      </c>
      <c r="S4" s="378"/>
      <c r="T4" s="378"/>
      <c r="U4" s="378"/>
      <c r="V4" s="378"/>
      <c r="W4" s="388">
        <v>0</v>
      </c>
      <c r="X4" s="389" t="s">
        <v>293</v>
      </c>
      <c r="Y4" s="378"/>
      <c r="Z4" s="378"/>
      <c r="AA4" s="378"/>
      <c r="AB4" s="378"/>
    </row>
    <row r="5" spans="1:42" x14ac:dyDescent="0.2">
      <c r="F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W5" s="378"/>
      <c r="X5" s="378"/>
      <c r="Y5" s="378"/>
      <c r="Z5" s="378"/>
      <c r="AA5" s="378"/>
      <c r="AB5" s="393" t="s">
        <v>296</v>
      </c>
      <c r="AD5" s="394" t="s">
        <v>297</v>
      </c>
    </row>
    <row r="6" spans="1:42" x14ac:dyDescent="0.2">
      <c r="A6" s="395" t="s">
        <v>157</v>
      </c>
      <c r="B6" s="395" t="s">
        <v>156</v>
      </c>
      <c r="C6" s="396" t="s">
        <v>298</v>
      </c>
      <c r="D6" s="397"/>
      <c r="E6" s="397"/>
      <c r="F6" s="398"/>
      <c r="G6" s="396" t="s">
        <v>299</v>
      </c>
      <c r="H6" s="397"/>
      <c r="I6" s="397"/>
      <c r="J6" s="398"/>
      <c r="K6" s="396" t="s">
        <v>300</v>
      </c>
      <c r="L6" s="397"/>
      <c r="M6" s="397"/>
      <c r="N6" s="398"/>
      <c r="O6" s="396" t="s">
        <v>301</v>
      </c>
      <c r="P6" s="397"/>
      <c r="Q6" s="397"/>
      <c r="R6" s="398"/>
      <c r="S6" s="396" t="s">
        <v>302</v>
      </c>
      <c r="T6" s="397"/>
      <c r="U6" s="397"/>
      <c r="V6" s="398"/>
      <c r="W6" s="395" t="s">
        <v>142</v>
      </c>
      <c r="X6" s="399" t="s">
        <v>303</v>
      </c>
      <c r="Y6" s="395" t="s">
        <v>304</v>
      </c>
      <c r="Z6" s="399"/>
      <c r="AA6" s="400" t="s">
        <v>305</v>
      </c>
      <c r="AB6" s="401"/>
      <c r="AC6" s="402" t="s">
        <v>306</v>
      </c>
      <c r="AD6" s="403" t="s">
        <v>261</v>
      </c>
      <c r="AE6" s="404"/>
      <c r="AF6" s="404" t="s">
        <v>307</v>
      </c>
      <c r="AG6" s="404"/>
      <c r="AH6" s="405" t="s">
        <v>308</v>
      </c>
      <c r="AI6" s="404"/>
      <c r="AJ6" s="404" t="s">
        <v>309</v>
      </c>
      <c r="AK6" s="406"/>
      <c r="AL6" s="404" t="s">
        <v>310</v>
      </c>
      <c r="AM6" s="406"/>
      <c r="AN6" s="406" t="s">
        <v>311</v>
      </c>
      <c r="AO6" s="407"/>
      <c r="AP6" s="406" t="s">
        <v>312</v>
      </c>
    </row>
    <row r="7" spans="1:42" x14ac:dyDescent="0.2">
      <c r="A7" s="408">
        <v>1</v>
      </c>
      <c r="B7" s="420" t="s">
        <v>385</v>
      </c>
      <c r="C7" s="410">
        <v>13</v>
      </c>
      <c r="D7" s="411" t="s">
        <v>313</v>
      </c>
      <c r="E7" s="411">
        <v>7</v>
      </c>
      <c r="F7" s="412" t="s">
        <v>315</v>
      </c>
      <c r="G7" s="410">
        <v>13</v>
      </c>
      <c r="H7" s="411" t="s">
        <v>313</v>
      </c>
      <c r="I7" s="411">
        <v>2</v>
      </c>
      <c r="J7" s="412" t="s">
        <v>324</v>
      </c>
      <c r="K7" s="410">
        <v>13</v>
      </c>
      <c r="L7" s="411" t="s">
        <v>313</v>
      </c>
      <c r="M7" s="411">
        <v>6</v>
      </c>
      <c r="N7" s="412" t="s">
        <v>386</v>
      </c>
      <c r="O7" s="410">
        <v>13</v>
      </c>
      <c r="P7" s="411" t="s">
        <v>313</v>
      </c>
      <c r="Q7" s="411">
        <v>12</v>
      </c>
      <c r="R7" s="412" t="s">
        <v>325</v>
      </c>
      <c r="S7" s="410"/>
      <c r="T7" s="411"/>
      <c r="U7" s="411"/>
      <c r="V7" s="412"/>
      <c r="W7" s="413">
        <f t="shared" ref="W7:W21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4</v>
      </c>
      <c r="X7" s="414">
        <v>14</v>
      </c>
      <c r="Y7" s="414">
        <v>64</v>
      </c>
      <c r="Z7" s="410">
        <f t="shared" ref="Z7:Z19" si="1">C7+G7+K7+O7+S7</f>
        <v>52</v>
      </c>
      <c r="AA7" s="411" t="s">
        <v>313</v>
      </c>
      <c r="AB7" s="415">
        <f t="shared" ref="AB7:AB19" si="2">E7+I7+M7+Q7+U7</f>
        <v>27</v>
      </c>
      <c r="AC7" s="416">
        <f t="shared" ref="AC7:AC19" si="3">Z7-AB7</f>
        <v>25</v>
      </c>
      <c r="AD7" s="417">
        <f t="shared" ref="AD7:AD10" si="4">SUM(AE7:AL7)</f>
        <v>178</v>
      </c>
      <c r="AE7" s="418">
        <f>IFERROR(INDEX(V!$R:$R,MATCH(AF7,V!$L:$L,0)),"")</f>
        <v>132</v>
      </c>
      <c r="AF7" s="419" t="str">
        <f t="shared" ref="AF7:AF21" si="5">IFERROR(LEFT($B7,(FIND(",",$B7,1)-1)),"")</f>
        <v>Andres Veski</v>
      </c>
      <c r="AG7" s="418">
        <f>IFERROR(INDEX(V!$R:$R,MATCH(AH7,V!$L:$L,0)),"")</f>
        <v>46</v>
      </c>
      <c r="AH7" s="419" t="str">
        <f t="shared" ref="AH7:AH21" si="6">IFERROR(MID($B7,FIND(", ",$B7)+2,256),"")</f>
        <v>Meelis Luud</v>
      </c>
      <c r="AI7" s="418" t="str">
        <f>IFERROR(INDEX(V!$R:$R,MATCH(AJ7,V!$L:$L,0)),"")</f>
        <v/>
      </c>
      <c r="AJ7" s="419" t="str">
        <f t="shared" ref="AJ7:AJ21" si="7">IFERROR(MID($B7,FIND("^",SUBSTITUTE($B7,", ","^",1))+2,FIND("^",SUBSTITUTE($B7,", ","^",2))-FIND("^",SUBSTITUTE($B7,", ","^",1))-2),"")</f>
        <v/>
      </c>
      <c r="AK7" s="418" t="str">
        <f>IFERROR(INDEX(V!$R:$R,MATCH(AL7,V!$L:$L,0)),"")</f>
        <v/>
      </c>
      <c r="AL7" s="419" t="str">
        <f t="shared" ref="AL7:AL21" si="8">IFERROR(MID($B7,FIND(", ",$B7,FIND(", ",$B7,FIND(", ",$B7))+1)+2,30000),"")</f>
        <v/>
      </c>
      <c r="AM7" s="418" t="str">
        <f>IFERROR(INDEX(V!$R:$R,MATCH(AN7,V!$L:$L,0)),"")</f>
        <v/>
      </c>
      <c r="AN7" s="419" t="str">
        <f t="shared" ref="AN7:AN21" si="9">IFERROR(MID($B7,FIND(", ",$B7,FIND(", ",$B7)+1)+2,FIND(", ",$B7,FIND(", ",$B7,FIND(", ",$B7)+1)+1)-FIND(", ",$B7,FIND(", ",$B7)+1)-2),"")</f>
        <v/>
      </c>
      <c r="AO7" s="418" t="str">
        <f>IFERROR(INDEX(V!$R:$R,MATCH(AP7,V!$L:$L,0)),"")</f>
        <v/>
      </c>
      <c r="AP7" s="419" t="str">
        <f t="shared" ref="AP7:AP21" si="10">IFERROR(MID($B7,FIND(", ",$B7,FIND(", ",$B7,FIND(", ",$B7)+1)+1)+2,30000),"")</f>
        <v/>
      </c>
    </row>
    <row r="8" spans="1:42" x14ac:dyDescent="0.2">
      <c r="A8" s="408">
        <v>2</v>
      </c>
      <c r="B8" s="420" t="s">
        <v>325</v>
      </c>
      <c r="C8" s="410">
        <v>13</v>
      </c>
      <c r="D8" s="411" t="s">
        <v>313</v>
      </c>
      <c r="E8" s="411">
        <v>7</v>
      </c>
      <c r="F8" s="412" t="s">
        <v>387</v>
      </c>
      <c r="G8" s="410">
        <v>13</v>
      </c>
      <c r="H8" s="411" t="s">
        <v>313</v>
      </c>
      <c r="I8" s="411">
        <v>11</v>
      </c>
      <c r="J8" s="412" t="s">
        <v>323</v>
      </c>
      <c r="K8" s="410">
        <v>7</v>
      </c>
      <c r="L8" s="411" t="s">
        <v>313</v>
      </c>
      <c r="M8" s="411">
        <v>5</v>
      </c>
      <c r="N8" s="412" t="s">
        <v>388</v>
      </c>
      <c r="O8" s="410">
        <v>12</v>
      </c>
      <c r="P8" s="411" t="s">
        <v>313</v>
      </c>
      <c r="Q8" s="411">
        <v>13</v>
      </c>
      <c r="R8" s="412" t="s">
        <v>385</v>
      </c>
      <c r="S8" s="410"/>
      <c r="T8" s="411"/>
      <c r="U8" s="411"/>
      <c r="V8" s="412"/>
      <c r="W8" s="413">
        <f t="shared" si="0"/>
        <v>3</v>
      </c>
      <c r="X8" s="414">
        <v>20</v>
      </c>
      <c r="Y8" s="414">
        <v>66</v>
      </c>
      <c r="Z8" s="410">
        <f t="shared" si="1"/>
        <v>45</v>
      </c>
      <c r="AA8" s="411" t="s">
        <v>313</v>
      </c>
      <c r="AB8" s="415">
        <f t="shared" si="2"/>
        <v>36</v>
      </c>
      <c r="AC8" s="416">
        <f t="shared" si="3"/>
        <v>9</v>
      </c>
      <c r="AD8" s="417">
        <f t="shared" si="4"/>
        <v>174</v>
      </c>
      <c r="AE8" s="418">
        <f>IFERROR(INDEX(V!$R:$R,MATCH(AF8,V!$L:$L,0)),"")</f>
        <v>46</v>
      </c>
      <c r="AF8" s="419" t="str">
        <f t="shared" si="5"/>
        <v>Henri Mitt</v>
      </c>
      <c r="AG8" s="418">
        <f>IFERROR(INDEX(V!$R:$R,MATCH(AH8,V!$L:$L,0)),"")</f>
        <v>128</v>
      </c>
      <c r="AH8" s="419" t="str">
        <f t="shared" si="6"/>
        <v>Urmas Randlaine</v>
      </c>
      <c r="AI8" s="418" t="str">
        <f>IFERROR(INDEX(V!$R:$R,MATCH(AJ8,V!$L:$L,0)),"")</f>
        <v/>
      </c>
      <c r="AJ8" s="419" t="str">
        <f t="shared" si="7"/>
        <v/>
      </c>
      <c r="AK8" s="418" t="str">
        <f>IFERROR(INDEX(V!$R:$R,MATCH(AL8,V!$L:$L,0)),"")</f>
        <v/>
      </c>
      <c r="AL8" s="419" t="str">
        <f t="shared" si="8"/>
        <v/>
      </c>
      <c r="AM8" s="418" t="str">
        <f>IFERROR(INDEX(V!$R:$R,MATCH(AN8,V!$L:$L,0)),"")</f>
        <v/>
      </c>
      <c r="AN8" s="419" t="str">
        <f t="shared" si="9"/>
        <v/>
      </c>
      <c r="AO8" s="418" t="str">
        <f>IFERROR(INDEX(V!$R:$R,MATCH(AP8,V!$L:$L,0)),"")</f>
        <v/>
      </c>
      <c r="AP8" s="419" t="str">
        <f t="shared" si="10"/>
        <v/>
      </c>
    </row>
    <row r="9" spans="1:42" x14ac:dyDescent="0.2">
      <c r="A9" s="408">
        <v>3</v>
      </c>
      <c r="B9" s="421" t="s">
        <v>388</v>
      </c>
      <c r="C9" s="410">
        <v>13</v>
      </c>
      <c r="D9" s="411" t="s">
        <v>313</v>
      </c>
      <c r="E9" s="411">
        <v>3</v>
      </c>
      <c r="F9" s="412" t="s">
        <v>389</v>
      </c>
      <c r="G9" s="410">
        <v>13</v>
      </c>
      <c r="H9" s="411" t="s">
        <v>313</v>
      </c>
      <c r="I9" s="411">
        <v>1</v>
      </c>
      <c r="J9" s="412" t="s">
        <v>390</v>
      </c>
      <c r="K9" s="410">
        <v>5</v>
      </c>
      <c r="L9" s="411" t="s">
        <v>313</v>
      </c>
      <c r="M9" s="411">
        <v>7</v>
      </c>
      <c r="N9" s="412" t="s">
        <v>325</v>
      </c>
      <c r="O9" s="410">
        <v>13</v>
      </c>
      <c r="P9" s="411" t="s">
        <v>313</v>
      </c>
      <c r="Q9" s="411">
        <v>9</v>
      </c>
      <c r="R9" s="412" t="s">
        <v>324</v>
      </c>
      <c r="S9" s="410"/>
      <c r="T9" s="411"/>
      <c r="U9" s="411"/>
      <c r="V9" s="412"/>
      <c r="W9" s="413">
        <f t="shared" si="0"/>
        <v>3</v>
      </c>
      <c r="X9" s="414">
        <v>18</v>
      </c>
      <c r="Y9" s="414">
        <v>72</v>
      </c>
      <c r="Z9" s="410">
        <f t="shared" si="1"/>
        <v>44</v>
      </c>
      <c r="AA9" s="411" t="s">
        <v>313</v>
      </c>
      <c r="AB9" s="415">
        <f t="shared" si="2"/>
        <v>20</v>
      </c>
      <c r="AC9" s="416">
        <f t="shared" si="3"/>
        <v>24</v>
      </c>
      <c r="AD9" s="417">
        <f t="shared" si="4"/>
        <v>350</v>
      </c>
      <c r="AE9" s="418">
        <f>IFERROR(INDEX(V!$R:$R,MATCH(AF9,V!$L:$L,0)),"")</f>
        <v>234</v>
      </c>
      <c r="AF9" s="419" t="str">
        <f t="shared" si="5"/>
        <v>Kenneth Muusikus</v>
      </c>
      <c r="AG9" s="418">
        <f>IFERROR(INDEX(V!$R:$R,MATCH(AH9,V!$L:$L,0)),"")</f>
        <v>116</v>
      </c>
      <c r="AH9" s="419" t="str">
        <f t="shared" si="6"/>
        <v>Urmas Jõeäär</v>
      </c>
      <c r="AI9" s="418" t="str">
        <f>IFERROR(INDEX(V!$R:$R,MATCH(AJ9,V!$L:$L,0)),"")</f>
        <v/>
      </c>
      <c r="AJ9" s="419" t="str">
        <f t="shared" si="7"/>
        <v/>
      </c>
      <c r="AK9" s="418" t="str">
        <f>IFERROR(INDEX(V!$R:$R,MATCH(AL9,V!$L:$L,0)),"")</f>
        <v/>
      </c>
      <c r="AL9" s="419" t="str">
        <f t="shared" si="8"/>
        <v/>
      </c>
      <c r="AM9" s="418" t="str">
        <f>IFERROR(INDEX(V!$R:$R,MATCH(AN9,V!$L:$L,0)),"")</f>
        <v/>
      </c>
      <c r="AN9" s="419" t="str">
        <f t="shared" si="9"/>
        <v/>
      </c>
      <c r="AO9" s="418" t="str">
        <f>IFERROR(INDEX(V!$R:$R,MATCH(AP9,V!$L:$L,0)),"")</f>
        <v/>
      </c>
      <c r="AP9" s="419" t="str">
        <f t="shared" si="10"/>
        <v/>
      </c>
    </row>
    <row r="10" spans="1:42" x14ac:dyDescent="0.2">
      <c r="A10" s="408">
        <v>4</v>
      </c>
      <c r="B10" s="421" t="s">
        <v>390</v>
      </c>
      <c r="C10" s="410">
        <v>13</v>
      </c>
      <c r="D10" s="411" t="s">
        <v>313</v>
      </c>
      <c r="E10" s="411">
        <v>3</v>
      </c>
      <c r="F10" s="412" t="s">
        <v>391</v>
      </c>
      <c r="G10" s="410">
        <v>1</v>
      </c>
      <c r="H10" s="411" t="s">
        <v>313</v>
      </c>
      <c r="I10" s="411">
        <v>13</v>
      </c>
      <c r="J10" s="412" t="s">
        <v>388</v>
      </c>
      <c r="K10" s="410">
        <v>13</v>
      </c>
      <c r="L10" s="411" t="s">
        <v>313</v>
      </c>
      <c r="M10" s="411">
        <v>1</v>
      </c>
      <c r="N10" s="412" t="s">
        <v>387</v>
      </c>
      <c r="O10" s="410">
        <v>13</v>
      </c>
      <c r="P10" s="411" t="s">
        <v>313</v>
      </c>
      <c r="Q10" s="411">
        <v>2</v>
      </c>
      <c r="R10" s="412" t="s">
        <v>386</v>
      </c>
      <c r="S10" s="410"/>
      <c r="T10" s="411"/>
      <c r="U10" s="411"/>
      <c r="V10" s="412"/>
      <c r="W10" s="413">
        <f t="shared" si="0"/>
        <v>3</v>
      </c>
      <c r="X10" s="414">
        <v>18</v>
      </c>
      <c r="Y10" s="414">
        <v>70</v>
      </c>
      <c r="Z10" s="410">
        <f t="shared" si="1"/>
        <v>40</v>
      </c>
      <c r="AA10" s="411" t="s">
        <v>313</v>
      </c>
      <c r="AB10" s="415">
        <f t="shared" si="2"/>
        <v>19</v>
      </c>
      <c r="AC10" s="416">
        <f t="shared" si="3"/>
        <v>21</v>
      </c>
      <c r="AD10" s="417">
        <f t="shared" si="4"/>
        <v>214</v>
      </c>
      <c r="AE10" s="418">
        <f>IFERROR(INDEX(V!$R:$R,MATCH(AF10,V!$L:$L,0)),"")</f>
        <v>132</v>
      </c>
      <c r="AF10" s="419" t="str">
        <f t="shared" si="5"/>
        <v>Ivar Viljaste</v>
      </c>
      <c r="AG10" s="418">
        <f>IFERROR(INDEX(V!$R:$R,MATCH(AH10,V!$L:$L,0)),"")</f>
        <v>82</v>
      </c>
      <c r="AH10" s="419" t="str">
        <f t="shared" si="6"/>
        <v>Matti Vinni</v>
      </c>
      <c r="AI10" s="418" t="str">
        <f>IFERROR(INDEX(V!$R:$R,MATCH(AJ10,V!$L:$L,0)),"")</f>
        <v/>
      </c>
      <c r="AJ10" s="419" t="str">
        <f t="shared" si="7"/>
        <v/>
      </c>
      <c r="AK10" s="418" t="str">
        <f>IFERROR(INDEX(V!$R:$R,MATCH(AL10,V!$L:$L,0)),"")</f>
        <v/>
      </c>
      <c r="AL10" s="419" t="str">
        <f t="shared" si="8"/>
        <v/>
      </c>
      <c r="AM10" s="418" t="str">
        <f>IFERROR(INDEX(V!$R:$R,MATCH(AN10,V!$L:$L,0)),"")</f>
        <v/>
      </c>
      <c r="AN10" s="419" t="str">
        <f t="shared" si="9"/>
        <v/>
      </c>
      <c r="AO10" s="418" t="str">
        <f>IFERROR(INDEX(V!$R:$R,MATCH(AP10,V!$L:$L,0)),"")</f>
        <v/>
      </c>
      <c r="AP10" s="419" t="str">
        <f t="shared" si="10"/>
        <v/>
      </c>
    </row>
    <row r="11" spans="1:42" x14ac:dyDescent="0.2">
      <c r="A11" s="408">
        <v>5</v>
      </c>
      <c r="B11" s="420" t="s">
        <v>319</v>
      </c>
      <c r="C11" s="410">
        <v>13</v>
      </c>
      <c r="D11" s="411" t="s">
        <v>313</v>
      </c>
      <c r="E11" s="411">
        <v>5</v>
      </c>
      <c r="F11" s="412" t="s">
        <v>392</v>
      </c>
      <c r="G11" s="410">
        <v>8</v>
      </c>
      <c r="H11" s="411" t="s">
        <v>313</v>
      </c>
      <c r="I11" s="411">
        <v>13</v>
      </c>
      <c r="J11" s="412" t="s">
        <v>386</v>
      </c>
      <c r="K11" s="410">
        <v>13</v>
      </c>
      <c r="L11" s="411" t="s">
        <v>313</v>
      </c>
      <c r="M11" s="411">
        <v>7</v>
      </c>
      <c r="N11" s="412" t="s">
        <v>323</v>
      </c>
      <c r="O11" s="410">
        <v>13</v>
      </c>
      <c r="P11" s="411" t="s">
        <v>313</v>
      </c>
      <c r="Q11" s="411">
        <v>1</v>
      </c>
      <c r="R11" s="412" t="s">
        <v>391</v>
      </c>
      <c r="S11" s="410"/>
      <c r="T11" s="411"/>
      <c r="U11" s="411"/>
      <c r="V11" s="412"/>
      <c r="W11" s="413">
        <f t="shared" si="0"/>
        <v>3</v>
      </c>
      <c r="X11" s="414">
        <v>14</v>
      </c>
      <c r="Y11" s="414">
        <v>68</v>
      </c>
      <c r="Z11" s="410">
        <f t="shared" si="1"/>
        <v>47</v>
      </c>
      <c r="AA11" s="411" t="s">
        <v>313</v>
      </c>
      <c r="AB11" s="415">
        <f t="shared" si="2"/>
        <v>26</v>
      </c>
      <c r="AC11" s="416">
        <f t="shared" si="3"/>
        <v>21</v>
      </c>
      <c r="AD11" s="417">
        <f t="shared" ref="AD11:AD13" si="11">SUM(AE11:AL11)</f>
        <v>222</v>
      </c>
      <c r="AE11" s="418">
        <f>IFERROR(INDEX(V!$R:$R,MATCH(AF11,V!$L:$L,0)),"")</f>
        <v>156</v>
      </c>
      <c r="AF11" s="419" t="str">
        <f t="shared" si="5"/>
        <v>Aleksander Korikov</v>
      </c>
      <c r="AG11" s="418">
        <f>IFERROR(INDEX(V!$R:$R,MATCH(AH11,V!$L:$L,0)),"")</f>
        <v>66</v>
      </c>
      <c r="AH11" s="419" t="str">
        <f t="shared" si="6"/>
        <v>Oksana Rõndenkova</v>
      </c>
      <c r="AI11" s="418" t="str">
        <f>IFERROR(INDEX(V!$R:$R,MATCH(AJ11,V!$L:$L,0)),"")</f>
        <v/>
      </c>
      <c r="AJ11" s="419" t="str">
        <f t="shared" si="7"/>
        <v/>
      </c>
      <c r="AK11" s="418" t="str">
        <f>IFERROR(INDEX(V!$R:$R,MATCH(AL11,V!$L:$L,0)),"")</f>
        <v/>
      </c>
      <c r="AL11" s="419" t="str">
        <f t="shared" si="8"/>
        <v/>
      </c>
      <c r="AM11" s="418" t="str">
        <f>IFERROR(INDEX(V!$R:$R,MATCH(AN11,V!$L:$L,0)),"")</f>
        <v/>
      </c>
      <c r="AN11" s="419" t="str">
        <f t="shared" si="9"/>
        <v/>
      </c>
      <c r="AO11" s="418" t="str">
        <f>IFERROR(INDEX(V!$R:$R,MATCH(AP11,V!$L:$L,0)),"")</f>
        <v/>
      </c>
      <c r="AP11" s="419" t="str">
        <f t="shared" si="10"/>
        <v/>
      </c>
    </row>
    <row r="12" spans="1:42" x14ac:dyDescent="0.2">
      <c r="A12" s="408">
        <v>6</v>
      </c>
      <c r="B12" s="421" t="s">
        <v>386</v>
      </c>
      <c r="C12" s="410">
        <v>13</v>
      </c>
      <c r="D12" s="411" t="s">
        <v>313</v>
      </c>
      <c r="E12" s="411">
        <v>5</v>
      </c>
      <c r="F12" s="412" t="s">
        <v>395</v>
      </c>
      <c r="G12" s="410">
        <v>13</v>
      </c>
      <c r="H12" s="411" t="s">
        <v>313</v>
      </c>
      <c r="I12" s="411">
        <v>8</v>
      </c>
      <c r="J12" s="412" t="s">
        <v>319</v>
      </c>
      <c r="K12" s="410">
        <v>6</v>
      </c>
      <c r="L12" s="411" t="s">
        <v>313</v>
      </c>
      <c r="M12" s="411">
        <v>13</v>
      </c>
      <c r="N12" s="412" t="s">
        <v>385</v>
      </c>
      <c r="O12" s="410">
        <v>2</v>
      </c>
      <c r="P12" s="411" t="s">
        <v>313</v>
      </c>
      <c r="Q12" s="411">
        <v>13</v>
      </c>
      <c r="R12" s="412" t="s">
        <v>390</v>
      </c>
      <c r="S12" s="410"/>
      <c r="T12" s="411"/>
      <c r="U12" s="411"/>
      <c r="V12" s="412"/>
      <c r="W12" s="413">
        <f t="shared" si="0"/>
        <v>2</v>
      </c>
      <c r="X12" s="414">
        <v>22</v>
      </c>
      <c r="Y12" s="414">
        <v>60</v>
      </c>
      <c r="Z12" s="410">
        <f t="shared" si="1"/>
        <v>34</v>
      </c>
      <c r="AA12" s="411" t="s">
        <v>313</v>
      </c>
      <c r="AB12" s="415">
        <f t="shared" si="2"/>
        <v>39</v>
      </c>
      <c r="AC12" s="416">
        <f t="shared" si="3"/>
        <v>-5</v>
      </c>
      <c r="AD12" s="417">
        <f t="shared" si="11"/>
        <v>208</v>
      </c>
      <c r="AE12" s="418">
        <f>IFERROR(INDEX(V!$R:$R,MATCH(AF12,V!$L:$L,0)),"")</f>
        <v>116</v>
      </c>
      <c r="AF12" s="419" t="str">
        <f t="shared" si="5"/>
        <v>Jaan Saar</v>
      </c>
      <c r="AG12" s="418">
        <f>IFERROR(INDEX(V!$R:$R,MATCH(AH12,V!$L:$L,0)),"")</f>
        <v>92</v>
      </c>
      <c r="AH12" s="419" t="str">
        <f t="shared" si="6"/>
        <v>Liidia Põllu</v>
      </c>
      <c r="AI12" s="418" t="str">
        <f>IFERROR(INDEX(V!$R:$R,MATCH(AJ12,V!$L:$L,0)),"")</f>
        <v/>
      </c>
      <c r="AJ12" s="419" t="str">
        <f t="shared" si="7"/>
        <v/>
      </c>
      <c r="AK12" s="418" t="str">
        <f>IFERROR(INDEX(V!$R:$R,MATCH(AL12,V!$L:$L,0)),"")</f>
        <v/>
      </c>
      <c r="AL12" s="419" t="str">
        <f t="shared" si="8"/>
        <v/>
      </c>
      <c r="AM12" s="418" t="str">
        <f>IFERROR(INDEX(V!$R:$R,MATCH(AN12,V!$L:$L,0)),"")</f>
        <v/>
      </c>
      <c r="AN12" s="419" t="str">
        <f t="shared" si="9"/>
        <v/>
      </c>
      <c r="AO12" s="418" t="str">
        <f>IFERROR(INDEX(V!$R:$R,MATCH(AP12,V!$L:$L,0)),"")</f>
        <v/>
      </c>
      <c r="AP12" s="419" t="str">
        <f t="shared" si="10"/>
        <v/>
      </c>
    </row>
    <row r="13" spans="1:42" x14ac:dyDescent="0.2">
      <c r="A13" s="408">
        <v>7</v>
      </c>
      <c r="B13" s="422" t="s">
        <v>324</v>
      </c>
      <c r="C13" s="410">
        <v>13</v>
      </c>
      <c r="D13" s="411" t="s">
        <v>313</v>
      </c>
      <c r="E13" s="411">
        <v>12</v>
      </c>
      <c r="F13" s="412" t="s">
        <v>393</v>
      </c>
      <c r="G13" s="410">
        <v>2</v>
      </c>
      <c r="H13" s="411" t="s">
        <v>313</v>
      </c>
      <c r="I13" s="411">
        <v>13</v>
      </c>
      <c r="J13" s="412" t="s">
        <v>385</v>
      </c>
      <c r="K13" s="410">
        <v>13</v>
      </c>
      <c r="L13" s="411" t="s">
        <v>313</v>
      </c>
      <c r="M13" s="411">
        <v>5</v>
      </c>
      <c r="N13" s="412" t="s">
        <v>392</v>
      </c>
      <c r="O13" s="410">
        <v>9</v>
      </c>
      <c r="P13" s="411" t="s">
        <v>313</v>
      </c>
      <c r="Q13" s="411">
        <v>13</v>
      </c>
      <c r="R13" s="412" t="s">
        <v>388</v>
      </c>
      <c r="S13" s="410"/>
      <c r="T13" s="411"/>
      <c r="U13" s="411"/>
      <c r="V13" s="412"/>
      <c r="W13" s="413">
        <f t="shared" si="0"/>
        <v>2</v>
      </c>
      <c r="X13" s="414">
        <v>22</v>
      </c>
      <c r="Y13" s="414">
        <v>54</v>
      </c>
      <c r="Z13" s="410">
        <f t="shared" si="1"/>
        <v>37</v>
      </c>
      <c r="AA13" s="411" t="s">
        <v>313</v>
      </c>
      <c r="AB13" s="415">
        <f t="shared" si="2"/>
        <v>43</v>
      </c>
      <c r="AC13" s="416">
        <f t="shared" si="3"/>
        <v>-6</v>
      </c>
      <c r="AD13" s="417">
        <f t="shared" si="11"/>
        <v>332</v>
      </c>
      <c r="AE13" s="418">
        <f>IFERROR(INDEX(V!$R:$R,MATCH(AF13,V!$L:$L,0)),"")</f>
        <v>166</v>
      </c>
      <c r="AF13" s="419" t="str">
        <f t="shared" si="5"/>
        <v>Oleg Rõndenkov</v>
      </c>
      <c r="AG13" s="418">
        <f>IFERROR(INDEX(V!$R:$R,MATCH(AH13,V!$L:$L,0)),"")</f>
        <v>166</v>
      </c>
      <c r="AH13" s="419" t="str">
        <f t="shared" si="6"/>
        <v>Sander Rose</v>
      </c>
      <c r="AI13" s="418" t="str">
        <f>IFERROR(INDEX(V!$R:$R,MATCH(AJ13,V!$L:$L,0)),"")</f>
        <v/>
      </c>
      <c r="AJ13" s="419" t="str">
        <f t="shared" si="7"/>
        <v/>
      </c>
      <c r="AK13" s="418" t="str">
        <f>IFERROR(INDEX(V!$R:$R,MATCH(AL13,V!$L:$L,0)),"")</f>
        <v/>
      </c>
      <c r="AL13" s="419" t="str">
        <f t="shared" si="8"/>
        <v/>
      </c>
      <c r="AM13" s="418" t="str">
        <f>IFERROR(INDEX(V!$R:$R,MATCH(AN13,V!$L:$L,0)),"")</f>
        <v/>
      </c>
      <c r="AN13" s="419" t="str">
        <f t="shared" si="9"/>
        <v/>
      </c>
      <c r="AO13" s="418" t="str">
        <f>IFERROR(INDEX(V!$R:$R,MATCH(AP13,V!$L:$L,0)),"")</f>
        <v/>
      </c>
      <c r="AP13" s="419" t="str">
        <f t="shared" si="10"/>
        <v/>
      </c>
    </row>
    <row r="14" spans="1:42" x14ac:dyDescent="0.2">
      <c r="A14" s="408">
        <v>8</v>
      </c>
      <c r="B14" s="422" t="s">
        <v>387</v>
      </c>
      <c r="C14" s="410">
        <v>7</v>
      </c>
      <c r="D14" s="411" t="s">
        <v>313</v>
      </c>
      <c r="E14" s="411">
        <v>13</v>
      </c>
      <c r="F14" s="412" t="s">
        <v>325</v>
      </c>
      <c r="G14" s="410">
        <v>13</v>
      </c>
      <c r="H14" s="411" t="s">
        <v>313</v>
      </c>
      <c r="I14" s="411">
        <v>7</v>
      </c>
      <c r="J14" s="412" t="s">
        <v>395</v>
      </c>
      <c r="K14" s="410">
        <v>1</v>
      </c>
      <c r="L14" s="411" t="s">
        <v>313</v>
      </c>
      <c r="M14" s="411">
        <v>13</v>
      </c>
      <c r="N14" s="412" t="s">
        <v>390</v>
      </c>
      <c r="O14" s="410">
        <v>13</v>
      </c>
      <c r="P14" s="411" t="s">
        <v>313</v>
      </c>
      <c r="Q14" s="411">
        <v>8</v>
      </c>
      <c r="R14" s="412" t="s">
        <v>323</v>
      </c>
      <c r="S14" s="410"/>
      <c r="T14" s="411"/>
      <c r="U14" s="411"/>
      <c r="V14" s="412"/>
      <c r="W14" s="413">
        <f t="shared" si="0"/>
        <v>2</v>
      </c>
      <c r="X14" s="414">
        <v>16</v>
      </c>
      <c r="Y14" s="414">
        <v>70</v>
      </c>
      <c r="Z14" s="410">
        <f t="shared" si="1"/>
        <v>34</v>
      </c>
      <c r="AA14" s="411" t="s">
        <v>313</v>
      </c>
      <c r="AB14" s="415">
        <f t="shared" si="2"/>
        <v>41</v>
      </c>
      <c r="AC14" s="416">
        <f t="shared" si="3"/>
        <v>-7</v>
      </c>
      <c r="AD14" s="417">
        <f t="shared" ref="AD14:AD15" si="12">SUM(AE14:AL14)</f>
        <v>226</v>
      </c>
      <c r="AE14" s="418">
        <f>IFERROR(INDEX(V!$R:$R,MATCH(AF14,V!$L:$L,0)),"")</f>
        <v>102</v>
      </c>
      <c r="AF14" s="419" t="str">
        <f t="shared" si="5"/>
        <v>Ljudmila Varendi</v>
      </c>
      <c r="AG14" s="418">
        <f>IFERROR(INDEX(V!$R:$R,MATCH(AH14,V!$L:$L,0)),"")</f>
        <v>124</v>
      </c>
      <c r="AH14" s="419" t="str">
        <f t="shared" si="6"/>
        <v>Viktor Švarõgin</v>
      </c>
      <c r="AI14" s="418" t="str">
        <f>IFERROR(INDEX(V!$R:$R,MATCH(AJ14,V!$L:$L,0)),"")</f>
        <v/>
      </c>
      <c r="AJ14" s="419" t="str">
        <f t="shared" si="7"/>
        <v/>
      </c>
      <c r="AK14" s="418" t="str">
        <f>IFERROR(INDEX(V!$R:$R,MATCH(AL14,V!$L:$L,0)),"")</f>
        <v/>
      </c>
      <c r="AL14" s="419" t="str">
        <f t="shared" si="8"/>
        <v/>
      </c>
      <c r="AM14" s="418" t="str">
        <f>IFERROR(INDEX(V!$R:$R,MATCH(AN14,V!$L:$L,0)),"")</f>
        <v/>
      </c>
      <c r="AN14" s="419" t="str">
        <f t="shared" si="9"/>
        <v/>
      </c>
      <c r="AO14" s="418" t="str">
        <f>IFERROR(INDEX(V!$R:$R,MATCH(AP14,V!$L:$L,0)),"")</f>
        <v/>
      </c>
      <c r="AP14" s="419" t="str">
        <f t="shared" si="10"/>
        <v/>
      </c>
    </row>
    <row r="15" spans="1:42" x14ac:dyDescent="0.2">
      <c r="A15" s="408">
        <v>9</v>
      </c>
      <c r="B15" s="421" t="s">
        <v>392</v>
      </c>
      <c r="C15" s="410">
        <v>5</v>
      </c>
      <c r="D15" s="411" t="s">
        <v>313</v>
      </c>
      <c r="E15" s="411">
        <v>13</v>
      </c>
      <c r="F15" s="412" t="s">
        <v>319</v>
      </c>
      <c r="G15" s="410">
        <v>13</v>
      </c>
      <c r="H15" s="411" t="s">
        <v>313</v>
      </c>
      <c r="I15" s="411">
        <v>7</v>
      </c>
      <c r="J15" s="412" t="s">
        <v>389</v>
      </c>
      <c r="K15" s="410">
        <v>5</v>
      </c>
      <c r="L15" s="411" t="s">
        <v>313</v>
      </c>
      <c r="M15" s="411">
        <v>13</v>
      </c>
      <c r="N15" s="412" t="s">
        <v>324</v>
      </c>
      <c r="O15" s="410">
        <v>13</v>
      </c>
      <c r="P15" s="411" t="s">
        <v>313</v>
      </c>
      <c r="Q15" s="411">
        <v>8</v>
      </c>
      <c r="R15" s="412" t="s">
        <v>394</v>
      </c>
      <c r="S15" s="410"/>
      <c r="T15" s="411"/>
      <c r="U15" s="411"/>
      <c r="V15" s="412"/>
      <c r="W15" s="413">
        <f t="shared" si="0"/>
        <v>2</v>
      </c>
      <c r="X15" s="414">
        <v>14</v>
      </c>
      <c r="Y15" s="414">
        <v>62</v>
      </c>
      <c r="Z15" s="410">
        <f t="shared" si="1"/>
        <v>36</v>
      </c>
      <c r="AA15" s="411" t="s">
        <v>313</v>
      </c>
      <c r="AB15" s="415">
        <f t="shared" si="2"/>
        <v>41</v>
      </c>
      <c r="AC15" s="416">
        <f t="shared" si="3"/>
        <v>-5</v>
      </c>
      <c r="AD15" s="417">
        <f t="shared" si="12"/>
        <v>256</v>
      </c>
      <c r="AE15" s="418">
        <f>IFERROR(INDEX(V!$R:$R,MATCH(AF15,V!$L:$L,0)),"")</f>
        <v>150</v>
      </c>
      <c r="AF15" s="419" t="str">
        <f t="shared" si="5"/>
        <v>Enn Tokman</v>
      </c>
      <c r="AG15" s="418">
        <f>IFERROR(INDEX(V!$R:$R,MATCH(AH15,V!$L:$L,0)),"")</f>
        <v>106</v>
      </c>
      <c r="AH15" s="419" t="str">
        <f t="shared" si="6"/>
        <v>Viktoria Mets</v>
      </c>
      <c r="AI15" s="418" t="str">
        <f>IFERROR(INDEX(V!$R:$R,MATCH(AJ15,V!$L:$L,0)),"")</f>
        <v/>
      </c>
      <c r="AJ15" s="419" t="str">
        <f t="shared" si="7"/>
        <v/>
      </c>
      <c r="AK15" s="418" t="str">
        <f>IFERROR(INDEX(V!$R:$R,MATCH(AL15,V!$L:$L,0)),"")</f>
        <v/>
      </c>
      <c r="AL15" s="419" t="str">
        <f t="shared" si="8"/>
        <v/>
      </c>
      <c r="AM15" s="418" t="str">
        <f>IFERROR(INDEX(V!$R:$R,MATCH(AN15,V!$L:$L,0)),"")</f>
        <v/>
      </c>
      <c r="AN15" s="419" t="str">
        <f t="shared" si="9"/>
        <v/>
      </c>
      <c r="AO15" s="418" t="str">
        <f>IFERROR(INDEX(V!$R:$R,MATCH(AP15,V!$L:$L,0)),"")</f>
        <v/>
      </c>
      <c r="AP15" s="419" t="str">
        <f t="shared" si="10"/>
        <v/>
      </c>
    </row>
    <row r="16" spans="1:42" x14ac:dyDescent="0.2">
      <c r="A16" s="408">
        <v>10</v>
      </c>
      <c r="B16" s="422" t="s">
        <v>391</v>
      </c>
      <c r="C16" s="410">
        <v>3</v>
      </c>
      <c r="D16" s="411" t="s">
        <v>313</v>
      </c>
      <c r="E16" s="411">
        <v>13</v>
      </c>
      <c r="F16" s="412" t="s">
        <v>390</v>
      </c>
      <c r="G16" s="410">
        <v>13</v>
      </c>
      <c r="H16" s="411" t="s">
        <v>313</v>
      </c>
      <c r="I16" s="411">
        <v>7</v>
      </c>
      <c r="J16" s="412" t="s">
        <v>315</v>
      </c>
      <c r="K16" s="410">
        <v>13</v>
      </c>
      <c r="L16" s="411" t="s">
        <v>313</v>
      </c>
      <c r="M16" s="411">
        <v>5</v>
      </c>
      <c r="N16" s="412" t="s">
        <v>394</v>
      </c>
      <c r="O16" s="410">
        <v>1</v>
      </c>
      <c r="P16" s="411" t="s">
        <v>313</v>
      </c>
      <c r="Q16" s="411">
        <v>13</v>
      </c>
      <c r="R16" s="412" t="s">
        <v>319</v>
      </c>
      <c r="S16" s="410"/>
      <c r="T16" s="411"/>
      <c r="U16" s="411"/>
      <c r="V16" s="412"/>
      <c r="W16" s="413">
        <f t="shared" si="0"/>
        <v>2</v>
      </c>
      <c r="X16" s="414">
        <v>14</v>
      </c>
      <c r="Y16" s="414">
        <v>46</v>
      </c>
      <c r="Z16" s="410">
        <f t="shared" si="1"/>
        <v>30</v>
      </c>
      <c r="AA16" s="411" t="s">
        <v>313</v>
      </c>
      <c r="AB16" s="415">
        <f t="shared" si="2"/>
        <v>38</v>
      </c>
      <c r="AC16" s="416">
        <f t="shared" si="3"/>
        <v>-8</v>
      </c>
      <c r="AD16" s="417">
        <f t="shared" ref="AD16:AD19" si="13">SUM(AE16:AL16)</f>
        <v>66</v>
      </c>
      <c r="AE16" s="418">
        <f>IFERROR(INDEX(V!$R:$R,MATCH(AF16,V!$L:$L,0)),"")</f>
        <v>12</v>
      </c>
      <c r="AF16" s="419" t="str">
        <f t="shared" si="5"/>
        <v>Peep Peenema</v>
      </c>
      <c r="AG16" s="418">
        <f>IFERROR(INDEX(V!$R:$R,MATCH(AH16,V!$L:$L,0)),"")</f>
        <v>54</v>
      </c>
      <c r="AH16" s="419" t="str">
        <f t="shared" si="6"/>
        <v>Sirje Maala</v>
      </c>
      <c r="AI16" s="418" t="str">
        <f>IFERROR(INDEX(V!$R:$R,MATCH(AJ16,V!$L:$L,0)),"")</f>
        <v/>
      </c>
      <c r="AJ16" s="419" t="str">
        <f t="shared" si="7"/>
        <v/>
      </c>
      <c r="AK16" s="418" t="str">
        <f>IFERROR(INDEX(V!$R:$R,MATCH(AL16,V!$L:$L,0)),"")</f>
        <v/>
      </c>
      <c r="AL16" s="419" t="str">
        <f t="shared" si="8"/>
        <v/>
      </c>
      <c r="AM16" s="418" t="str">
        <f>IFERROR(INDEX(V!$R:$R,MATCH(AN16,V!$L:$L,0)),"")</f>
        <v/>
      </c>
      <c r="AN16" s="419" t="str">
        <f t="shared" si="9"/>
        <v/>
      </c>
      <c r="AO16" s="418" t="str">
        <f>IFERROR(INDEX(V!$R:$R,MATCH(AP16,V!$L:$L,0)),"")</f>
        <v/>
      </c>
      <c r="AP16" s="419" t="str">
        <f t="shared" si="10"/>
        <v/>
      </c>
    </row>
    <row r="17" spans="1:42" x14ac:dyDescent="0.2">
      <c r="A17" s="408">
        <v>11</v>
      </c>
      <c r="B17" s="421" t="s">
        <v>393</v>
      </c>
      <c r="C17" s="410">
        <v>12</v>
      </c>
      <c r="D17" s="411" t="s">
        <v>313</v>
      </c>
      <c r="E17" s="411">
        <v>13</v>
      </c>
      <c r="F17" s="412" t="s">
        <v>324</v>
      </c>
      <c r="G17" s="410">
        <v>6</v>
      </c>
      <c r="H17" s="411" t="s">
        <v>313</v>
      </c>
      <c r="I17" s="411">
        <v>13</v>
      </c>
      <c r="J17" s="412" t="s">
        <v>394</v>
      </c>
      <c r="K17" s="410">
        <v>13</v>
      </c>
      <c r="L17" s="411" t="s">
        <v>313</v>
      </c>
      <c r="M17" s="411">
        <v>7</v>
      </c>
      <c r="N17" s="412" t="s">
        <v>315</v>
      </c>
      <c r="O17" s="410">
        <v>13</v>
      </c>
      <c r="P17" s="411" t="s">
        <v>313</v>
      </c>
      <c r="Q17" s="411">
        <v>10</v>
      </c>
      <c r="R17" s="412" t="s">
        <v>395</v>
      </c>
      <c r="S17" s="410"/>
      <c r="T17" s="411"/>
      <c r="U17" s="411"/>
      <c r="V17" s="412"/>
      <c r="W17" s="413">
        <f t="shared" si="0"/>
        <v>2</v>
      </c>
      <c r="X17" s="414">
        <v>8</v>
      </c>
      <c r="Y17" s="414">
        <v>50</v>
      </c>
      <c r="Z17" s="410">
        <f t="shared" si="1"/>
        <v>44</v>
      </c>
      <c r="AA17" s="411" t="s">
        <v>313</v>
      </c>
      <c r="AB17" s="415">
        <f t="shared" si="2"/>
        <v>43</v>
      </c>
      <c r="AC17" s="416">
        <f t="shared" si="3"/>
        <v>1</v>
      </c>
      <c r="AD17" s="417">
        <f t="shared" si="13"/>
        <v>42</v>
      </c>
      <c r="AE17" s="418">
        <f>IFERROR(INDEX(V!$R:$R,MATCH(AF17,V!$L:$L,0)),"")</f>
        <v>32</v>
      </c>
      <c r="AF17" s="419" t="str">
        <f t="shared" si="5"/>
        <v>Jaan Sepp</v>
      </c>
      <c r="AG17" s="418">
        <f>IFERROR(INDEX(V!$R:$R,MATCH(AH17,V!$L:$L,0)),"")</f>
        <v>10</v>
      </c>
      <c r="AH17" s="419" t="str">
        <f t="shared" si="6"/>
        <v>Oskar Sepp</v>
      </c>
      <c r="AI17" s="418" t="str">
        <f>IFERROR(INDEX(V!$R:$R,MATCH(AJ17,V!$L:$L,0)),"")</f>
        <v/>
      </c>
      <c r="AJ17" s="419" t="str">
        <f t="shared" si="7"/>
        <v/>
      </c>
      <c r="AK17" s="418" t="str">
        <f>IFERROR(INDEX(V!$R:$R,MATCH(AL17,V!$L:$L,0)),"")</f>
        <v/>
      </c>
      <c r="AL17" s="419" t="str">
        <f t="shared" si="8"/>
        <v/>
      </c>
      <c r="AM17" s="418" t="str">
        <f>IFERROR(INDEX(V!$R:$R,MATCH(AN17,V!$L:$L,0)),"")</f>
        <v/>
      </c>
      <c r="AN17" s="419" t="str">
        <f t="shared" si="9"/>
        <v/>
      </c>
      <c r="AO17" s="418" t="str">
        <f>IFERROR(INDEX(V!$R:$R,MATCH(AP17,V!$L:$L,0)),"")</f>
        <v/>
      </c>
      <c r="AP17" s="419" t="str">
        <f t="shared" si="10"/>
        <v/>
      </c>
    </row>
    <row r="18" spans="1:42" x14ac:dyDescent="0.2">
      <c r="A18" s="408">
        <v>12</v>
      </c>
      <c r="B18" s="422" t="s">
        <v>323</v>
      </c>
      <c r="C18" s="410">
        <v>13</v>
      </c>
      <c r="D18" s="411" t="s">
        <v>313</v>
      </c>
      <c r="E18" s="411">
        <v>11</v>
      </c>
      <c r="F18" s="412" t="s">
        <v>394</v>
      </c>
      <c r="G18" s="410">
        <v>11</v>
      </c>
      <c r="H18" s="411" t="s">
        <v>313</v>
      </c>
      <c r="I18" s="411">
        <v>13</v>
      </c>
      <c r="J18" s="412" t="s">
        <v>325</v>
      </c>
      <c r="K18" s="410">
        <v>7</v>
      </c>
      <c r="L18" s="411" t="s">
        <v>313</v>
      </c>
      <c r="M18" s="411">
        <v>13</v>
      </c>
      <c r="N18" s="412" t="s">
        <v>319</v>
      </c>
      <c r="O18" s="410">
        <v>8</v>
      </c>
      <c r="P18" s="411" t="s">
        <v>313</v>
      </c>
      <c r="Q18" s="411">
        <v>13</v>
      </c>
      <c r="R18" s="412" t="s">
        <v>387</v>
      </c>
      <c r="S18" s="410"/>
      <c r="T18" s="411"/>
      <c r="U18" s="411"/>
      <c r="V18" s="412"/>
      <c r="W18" s="413">
        <f t="shared" si="0"/>
        <v>1</v>
      </c>
      <c r="X18" s="414">
        <v>18</v>
      </c>
      <c r="Y18" s="414">
        <v>64</v>
      </c>
      <c r="Z18" s="410">
        <f t="shared" si="1"/>
        <v>39</v>
      </c>
      <c r="AA18" s="411" t="s">
        <v>313</v>
      </c>
      <c r="AB18" s="415">
        <f t="shared" si="2"/>
        <v>50</v>
      </c>
      <c r="AC18" s="416">
        <f t="shared" si="3"/>
        <v>-11</v>
      </c>
      <c r="AD18" s="417">
        <f t="shared" si="13"/>
        <v>308</v>
      </c>
      <c r="AE18" s="418">
        <f>IFERROR(INDEX(V!$R:$R,MATCH(AF18,V!$L:$L,0)),"")</f>
        <v>154</v>
      </c>
      <c r="AF18" s="419" t="str">
        <f t="shared" si="5"/>
        <v>Kristel Tihhonjuk</v>
      </c>
      <c r="AG18" s="418">
        <f>IFERROR(INDEX(V!$R:$R,MATCH(AH18,V!$L:$L,0)),"")</f>
        <v>154</v>
      </c>
      <c r="AH18" s="419" t="str">
        <f t="shared" si="6"/>
        <v>Vadim Tihhonjuk</v>
      </c>
      <c r="AI18" s="418" t="str">
        <f>IFERROR(INDEX(V!$R:$R,MATCH(AJ18,V!$L:$L,0)),"")</f>
        <v/>
      </c>
      <c r="AJ18" s="419" t="str">
        <f t="shared" si="7"/>
        <v/>
      </c>
      <c r="AK18" s="418" t="str">
        <f>IFERROR(INDEX(V!$R:$R,MATCH(AL18,V!$L:$L,0)),"")</f>
        <v/>
      </c>
      <c r="AL18" s="419" t="str">
        <f t="shared" si="8"/>
        <v/>
      </c>
      <c r="AM18" s="418" t="str">
        <f>IFERROR(INDEX(V!$R:$R,MATCH(AN18,V!$L:$L,0)),"")</f>
        <v/>
      </c>
      <c r="AN18" s="419" t="str">
        <f t="shared" si="9"/>
        <v/>
      </c>
      <c r="AO18" s="418" t="str">
        <f>IFERROR(INDEX(V!$R:$R,MATCH(AP18,V!$L:$L,0)),"")</f>
        <v/>
      </c>
      <c r="AP18" s="419" t="str">
        <f t="shared" si="10"/>
        <v/>
      </c>
    </row>
    <row r="19" spans="1:42" x14ac:dyDescent="0.2">
      <c r="A19" s="408">
        <v>13</v>
      </c>
      <c r="B19" s="421" t="s">
        <v>395</v>
      </c>
      <c r="C19" s="410">
        <v>5</v>
      </c>
      <c r="D19" s="411" t="s">
        <v>313</v>
      </c>
      <c r="E19" s="411">
        <v>13</v>
      </c>
      <c r="F19" s="412" t="s">
        <v>386</v>
      </c>
      <c r="G19" s="410">
        <v>7</v>
      </c>
      <c r="H19" s="411" t="s">
        <v>313</v>
      </c>
      <c r="I19" s="411">
        <v>13</v>
      </c>
      <c r="J19" s="412" t="s">
        <v>387</v>
      </c>
      <c r="K19" s="410">
        <v>13</v>
      </c>
      <c r="L19" s="411" t="s">
        <v>313</v>
      </c>
      <c r="M19" s="411">
        <v>9</v>
      </c>
      <c r="N19" s="412" t="s">
        <v>389</v>
      </c>
      <c r="O19" s="410">
        <v>10</v>
      </c>
      <c r="P19" s="411" t="s">
        <v>313</v>
      </c>
      <c r="Q19" s="411">
        <v>13</v>
      </c>
      <c r="R19" s="412" t="s">
        <v>393</v>
      </c>
      <c r="S19" s="410"/>
      <c r="T19" s="411"/>
      <c r="U19" s="411"/>
      <c r="V19" s="412"/>
      <c r="W19" s="413">
        <f t="shared" si="0"/>
        <v>1</v>
      </c>
      <c r="X19" s="414">
        <v>14</v>
      </c>
      <c r="Y19" s="414">
        <v>58</v>
      </c>
      <c r="Z19" s="410">
        <f t="shared" si="1"/>
        <v>35</v>
      </c>
      <c r="AA19" s="411" t="s">
        <v>313</v>
      </c>
      <c r="AB19" s="415">
        <f t="shared" si="2"/>
        <v>48</v>
      </c>
      <c r="AC19" s="416">
        <f t="shared" si="3"/>
        <v>-13</v>
      </c>
      <c r="AD19" s="417">
        <f t="shared" si="13"/>
        <v>60</v>
      </c>
      <c r="AE19" s="418">
        <f>IFERROR(INDEX(V!$R:$R,MATCH(AF19,V!$L:$L,0)),"")</f>
        <v>22</v>
      </c>
      <c r="AF19" s="419" t="str">
        <f t="shared" si="5"/>
        <v>Lemmit Toomra</v>
      </c>
      <c r="AG19" s="418">
        <f>IFERROR(INDEX(V!$R:$R,MATCH(AH19,V!$L:$L,0)),"")</f>
        <v>38</v>
      </c>
      <c r="AH19" s="419" t="str">
        <f t="shared" si="6"/>
        <v>Tõnu Kapper</v>
      </c>
      <c r="AI19" s="418" t="str">
        <f>IFERROR(INDEX(V!$R:$R,MATCH(AJ19,V!$L:$L,0)),"")</f>
        <v/>
      </c>
      <c r="AJ19" s="419" t="str">
        <f t="shared" si="7"/>
        <v/>
      </c>
      <c r="AK19" s="418" t="str">
        <f>IFERROR(INDEX(V!$R:$R,MATCH(AL19,V!$L:$L,0)),"")</f>
        <v/>
      </c>
      <c r="AL19" s="419" t="str">
        <f t="shared" si="8"/>
        <v/>
      </c>
      <c r="AM19" s="418" t="str">
        <f>IFERROR(INDEX(V!$R:$R,MATCH(AN19,V!$L:$L,0)),"")</f>
        <v/>
      </c>
      <c r="AN19" s="419" t="str">
        <f t="shared" si="9"/>
        <v/>
      </c>
      <c r="AO19" s="418" t="str">
        <f>IFERROR(INDEX(V!$R:$R,MATCH(AP19,V!$L:$L,0)),"")</f>
        <v/>
      </c>
      <c r="AP19" s="419" t="str">
        <f t="shared" si="10"/>
        <v/>
      </c>
    </row>
    <row r="20" spans="1:42" x14ac:dyDescent="0.2">
      <c r="A20" s="408">
        <v>14</v>
      </c>
      <c r="B20" s="422" t="s">
        <v>394</v>
      </c>
      <c r="C20" s="410">
        <v>11</v>
      </c>
      <c r="D20" s="411" t="s">
        <v>313</v>
      </c>
      <c r="E20" s="411">
        <v>13</v>
      </c>
      <c r="F20" s="412" t="s">
        <v>323</v>
      </c>
      <c r="G20" s="410">
        <v>13</v>
      </c>
      <c r="H20" s="411" t="s">
        <v>313</v>
      </c>
      <c r="I20" s="411">
        <v>6</v>
      </c>
      <c r="J20" s="412" t="s">
        <v>393</v>
      </c>
      <c r="K20" s="410">
        <v>5</v>
      </c>
      <c r="L20" s="411" t="s">
        <v>313</v>
      </c>
      <c r="M20" s="411">
        <v>13</v>
      </c>
      <c r="N20" s="412" t="s">
        <v>391</v>
      </c>
      <c r="O20" s="410">
        <v>8</v>
      </c>
      <c r="P20" s="411" t="s">
        <v>313</v>
      </c>
      <c r="Q20" s="411">
        <v>13</v>
      </c>
      <c r="R20" s="412" t="s">
        <v>392</v>
      </c>
      <c r="S20" s="410"/>
      <c r="T20" s="411"/>
      <c r="U20" s="411"/>
      <c r="V20" s="412"/>
      <c r="W20" s="413">
        <f t="shared" si="0"/>
        <v>1</v>
      </c>
      <c r="X20" s="414">
        <v>14</v>
      </c>
      <c r="Y20" s="414">
        <v>54</v>
      </c>
      <c r="Z20" s="410">
        <f t="shared" ref="Z20:Z21" si="14">C20+G20+K20+O20+S20</f>
        <v>37</v>
      </c>
      <c r="AA20" s="411" t="s">
        <v>313</v>
      </c>
      <c r="AB20" s="415">
        <f t="shared" ref="AB20:AB21" si="15">E20+I20+M20+Q20+U20</f>
        <v>45</v>
      </c>
      <c r="AC20" s="416">
        <f t="shared" ref="AC20:AC21" si="16">Z20-AB20</f>
        <v>-8</v>
      </c>
      <c r="AD20" s="417">
        <f t="shared" ref="AD20:AD21" si="17">SUM(AE20:AL20)</f>
        <v>176</v>
      </c>
      <c r="AE20" s="418">
        <f>IFERROR(INDEX(V!$R:$R,MATCH(AF20,V!$L:$L,0)),"")</f>
        <v>62</v>
      </c>
      <c r="AF20" s="419" t="str">
        <f t="shared" si="5"/>
        <v>Boriss Klubov</v>
      </c>
      <c r="AG20" s="418">
        <f>IFERROR(INDEX(V!$R:$R,MATCH(AH20,V!$L:$L,0)),"")</f>
        <v>114</v>
      </c>
      <c r="AH20" s="419" t="str">
        <f t="shared" si="6"/>
        <v>Elmo Lageda</v>
      </c>
      <c r="AI20" s="418" t="str">
        <f>IFERROR(INDEX(V!$R:$R,MATCH(AJ20,V!$L:$L,0)),"")</f>
        <v/>
      </c>
      <c r="AJ20" s="419" t="str">
        <f t="shared" si="7"/>
        <v/>
      </c>
      <c r="AK20" s="418" t="str">
        <f>IFERROR(INDEX(V!$R:$R,MATCH(AL20,V!$L:$L,0)),"")</f>
        <v/>
      </c>
      <c r="AL20" s="419" t="str">
        <f t="shared" si="8"/>
        <v/>
      </c>
      <c r="AM20" s="418" t="str">
        <f>IFERROR(INDEX(V!$R:$R,MATCH(AN20,V!$L:$L,0)),"")</f>
        <v/>
      </c>
      <c r="AN20" s="419" t="str">
        <f t="shared" si="9"/>
        <v/>
      </c>
      <c r="AO20" s="418" t="str">
        <f>IFERROR(INDEX(V!$R:$R,MATCH(AP20,V!$L:$L,0)),"")</f>
        <v/>
      </c>
      <c r="AP20" s="419" t="str">
        <f t="shared" si="10"/>
        <v/>
      </c>
    </row>
    <row r="21" spans="1:42" x14ac:dyDescent="0.2">
      <c r="A21" s="408">
        <v>15</v>
      </c>
      <c r="B21" s="421" t="s">
        <v>389</v>
      </c>
      <c r="C21" s="410">
        <v>3</v>
      </c>
      <c r="D21" s="411" t="s">
        <v>313</v>
      </c>
      <c r="E21" s="411">
        <v>13</v>
      </c>
      <c r="F21" s="412" t="s">
        <v>388</v>
      </c>
      <c r="G21" s="410">
        <v>7</v>
      </c>
      <c r="H21" s="411" t="s">
        <v>313</v>
      </c>
      <c r="I21" s="411">
        <v>13</v>
      </c>
      <c r="J21" s="412" t="s">
        <v>392</v>
      </c>
      <c r="K21" s="410">
        <v>9</v>
      </c>
      <c r="L21" s="411" t="s">
        <v>313</v>
      </c>
      <c r="M21" s="411">
        <v>13</v>
      </c>
      <c r="N21" s="412" t="s">
        <v>395</v>
      </c>
      <c r="O21" s="410">
        <v>13</v>
      </c>
      <c r="P21" s="411" t="s">
        <v>313</v>
      </c>
      <c r="Q21" s="411">
        <v>7</v>
      </c>
      <c r="R21" s="412" t="s">
        <v>315</v>
      </c>
      <c r="S21" s="410"/>
      <c r="T21" s="411"/>
      <c r="U21" s="411"/>
      <c r="V21" s="412"/>
      <c r="W21" s="413">
        <f t="shared" si="0"/>
        <v>1</v>
      </c>
      <c r="X21" s="414">
        <v>12</v>
      </c>
      <c r="Y21" s="414">
        <v>46</v>
      </c>
      <c r="Z21" s="410">
        <f t="shared" si="14"/>
        <v>32</v>
      </c>
      <c r="AA21" s="411" t="s">
        <v>313</v>
      </c>
      <c r="AB21" s="415">
        <f t="shared" si="15"/>
        <v>46</v>
      </c>
      <c r="AC21" s="416">
        <f t="shared" si="16"/>
        <v>-14</v>
      </c>
      <c r="AD21" s="417">
        <f t="shared" si="17"/>
        <v>28</v>
      </c>
      <c r="AE21" s="418">
        <f>IFERROR(INDEX(V!$R:$R,MATCH(AF21,V!$L:$L,0)),"")</f>
        <v>20</v>
      </c>
      <c r="AF21" s="419" t="str">
        <f t="shared" si="5"/>
        <v>Vlad Arzantsev</v>
      </c>
      <c r="AG21" s="418">
        <f>IFERROR(INDEX(V!$R:$R,MATCH(AH21,V!$L:$L,0)),"")</f>
        <v>8</v>
      </c>
      <c r="AH21" s="419" t="str">
        <f t="shared" si="6"/>
        <v>Nikolai Arzantsev</v>
      </c>
      <c r="AI21" s="418" t="str">
        <f>IFERROR(INDEX(V!$R:$R,MATCH(AJ21,V!$L:$L,0)),"")</f>
        <v/>
      </c>
      <c r="AJ21" s="419" t="str">
        <f t="shared" si="7"/>
        <v/>
      </c>
      <c r="AK21" s="418" t="str">
        <f>IFERROR(INDEX(V!$R:$R,MATCH(AL21,V!$L:$L,0)),"")</f>
        <v/>
      </c>
      <c r="AL21" s="419" t="str">
        <f t="shared" si="8"/>
        <v/>
      </c>
      <c r="AM21" s="418" t="str">
        <f>IFERROR(INDEX(V!$R:$R,MATCH(AN21,V!$L:$L,0)),"")</f>
        <v/>
      </c>
      <c r="AN21" s="419" t="str">
        <f t="shared" si="9"/>
        <v/>
      </c>
      <c r="AO21" s="418" t="str">
        <f>IFERROR(INDEX(V!$R:$R,MATCH(AP21,V!$L:$L,0)),"")</f>
        <v/>
      </c>
      <c r="AP21" s="419" t="str">
        <f t="shared" si="10"/>
        <v/>
      </c>
    </row>
    <row r="24" spans="1:42" hidden="1" x14ac:dyDescent="0.2"/>
    <row r="25" spans="1:42" hidden="1" x14ac:dyDescent="0.2"/>
    <row r="26" spans="1:42" hidden="1" x14ac:dyDescent="0.2"/>
    <row r="27" spans="1:42" hidden="1" x14ac:dyDescent="0.2"/>
    <row r="28" spans="1:42" hidden="1" x14ac:dyDescent="0.2"/>
    <row r="29" spans="1:42" hidden="1" x14ac:dyDescent="0.2"/>
    <row r="30" spans="1:42" hidden="1" x14ac:dyDescent="0.2"/>
    <row r="31" spans="1:42" hidden="1" x14ac:dyDescent="0.2"/>
    <row r="32" spans="1:4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6" hidden="1" x14ac:dyDescent="0.2"/>
    <row r="290" spans="1:6" hidden="1" x14ac:dyDescent="0.2"/>
    <row r="291" spans="1:6" hidden="1" x14ac:dyDescent="0.2"/>
    <row r="292" spans="1:6" hidden="1" x14ac:dyDescent="0.2"/>
    <row r="293" spans="1:6" hidden="1" x14ac:dyDescent="0.2"/>
    <row r="294" spans="1:6" hidden="1" x14ac:dyDescent="0.2"/>
    <row r="295" spans="1:6" hidden="1" x14ac:dyDescent="0.2"/>
    <row r="296" spans="1:6" hidden="1" x14ac:dyDescent="0.2"/>
    <row r="297" spans="1:6" hidden="1" x14ac:dyDescent="0.2"/>
    <row r="298" spans="1:6" hidden="1" x14ac:dyDescent="0.2"/>
    <row r="299" spans="1:6" x14ac:dyDescent="0.2">
      <c r="A299" s="378"/>
      <c r="B299" s="378"/>
      <c r="C299" s="423" t="s">
        <v>316</v>
      </c>
      <c r="F299" s="424"/>
    </row>
    <row r="300" spans="1:6" x14ac:dyDescent="0.2">
      <c r="A300" s="425">
        <v>1</v>
      </c>
      <c r="B300" s="426" t="str">
        <f t="shared" ref="B300:B312" si="18">IFERROR(INDEX(B$1:B$95,MATCH(A300,A$1:A$95,0)),"")</f>
        <v>Andres Veski, Meelis Luud</v>
      </c>
      <c r="C300" s="427">
        <f>LARGE(A300:A400,1)*2+2-A300*2</f>
        <v>30</v>
      </c>
      <c r="F300" s="424"/>
    </row>
    <row r="301" spans="1:6" x14ac:dyDescent="0.2">
      <c r="A301" s="425">
        <v>2</v>
      </c>
      <c r="B301" s="426" t="str">
        <f t="shared" si="18"/>
        <v>Henri Mitt, Urmas Randlaine</v>
      </c>
      <c r="C301" s="427">
        <f t="shared" ref="C301:C312" si="19">LARGE(A301:A401,1)*2+2-A301*2</f>
        <v>28</v>
      </c>
      <c r="F301" s="424"/>
    </row>
    <row r="302" spans="1:6" x14ac:dyDescent="0.2">
      <c r="A302" s="425">
        <v>3</v>
      </c>
      <c r="B302" s="426" t="str">
        <f t="shared" si="18"/>
        <v>Kenneth Muusikus, Urmas Jõeäär</v>
      </c>
      <c r="C302" s="427">
        <f t="shared" si="19"/>
        <v>26</v>
      </c>
      <c r="F302" s="424"/>
    </row>
    <row r="303" spans="1:6" x14ac:dyDescent="0.2">
      <c r="A303" s="425">
        <v>4</v>
      </c>
      <c r="B303" s="426" t="str">
        <f t="shared" si="18"/>
        <v>Ivar Viljaste, Matti Vinni</v>
      </c>
      <c r="C303" s="427">
        <f t="shared" si="19"/>
        <v>24</v>
      </c>
      <c r="F303" s="424"/>
    </row>
    <row r="304" spans="1:6" x14ac:dyDescent="0.2">
      <c r="A304" s="425">
        <v>5</v>
      </c>
      <c r="B304" s="426" t="str">
        <f t="shared" si="18"/>
        <v>Aleksander Korikov, Oksana Rõndenkova</v>
      </c>
      <c r="C304" s="427">
        <f t="shared" si="19"/>
        <v>22</v>
      </c>
      <c r="F304" s="424"/>
    </row>
    <row r="305" spans="1:6" x14ac:dyDescent="0.2">
      <c r="A305" s="425">
        <v>6</v>
      </c>
      <c r="B305" s="426" t="str">
        <f t="shared" si="18"/>
        <v>Jaan Saar, Liidia Põllu</v>
      </c>
      <c r="C305" s="427">
        <f t="shared" si="19"/>
        <v>20</v>
      </c>
      <c r="F305" s="424"/>
    </row>
    <row r="306" spans="1:6" x14ac:dyDescent="0.2">
      <c r="A306" s="425">
        <v>7</v>
      </c>
      <c r="B306" s="426" t="str">
        <f t="shared" si="18"/>
        <v>Oleg Rõndenkov, Sander Rose</v>
      </c>
      <c r="C306" s="427">
        <f t="shared" si="19"/>
        <v>18</v>
      </c>
      <c r="F306" s="424"/>
    </row>
    <row r="307" spans="1:6" x14ac:dyDescent="0.2">
      <c r="A307" s="425">
        <v>8</v>
      </c>
      <c r="B307" s="426" t="str">
        <f t="shared" si="18"/>
        <v>Ljudmila Varendi, Viktor Švarõgin</v>
      </c>
      <c r="C307" s="427">
        <f t="shared" si="19"/>
        <v>16</v>
      </c>
      <c r="F307" s="424"/>
    </row>
    <row r="308" spans="1:6" x14ac:dyDescent="0.2">
      <c r="A308" s="425">
        <v>9</v>
      </c>
      <c r="B308" s="426" t="str">
        <f t="shared" si="18"/>
        <v>Enn Tokman, Viktoria Mets</v>
      </c>
      <c r="C308" s="427">
        <f t="shared" si="19"/>
        <v>14</v>
      </c>
      <c r="F308" s="424"/>
    </row>
    <row r="309" spans="1:6" x14ac:dyDescent="0.2">
      <c r="A309" s="425">
        <v>10</v>
      </c>
      <c r="B309" s="426" t="str">
        <f t="shared" si="18"/>
        <v>Peep Peenema, Sirje Maala</v>
      </c>
      <c r="C309" s="427">
        <f t="shared" si="19"/>
        <v>12</v>
      </c>
    </row>
    <row r="310" spans="1:6" x14ac:dyDescent="0.2">
      <c r="A310" s="425">
        <v>11</v>
      </c>
      <c r="B310" s="426" t="str">
        <f t="shared" si="18"/>
        <v>Jaan Sepp, Oskar Sepp</v>
      </c>
      <c r="C310" s="427">
        <f t="shared" si="19"/>
        <v>10</v>
      </c>
    </row>
    <row r="311" spans="1:6" x14ac:dyDescent="0.2">
      <c r="A311" s="425">
        <v>12</v>
      </c>
      <c r="B311" s="426" t="str">
        <f t="shared" si="18"/>
        <v>Kristel Tihhonjuk, Vadim Tihhonjuk</v>
      </c>
      <c r="C311" s="427">
        <f t="shared" si="19"/>
        <v>8</v>
      </c>
    </row>
    <row r="312" spans="1:6" x14ac:dyDescent="0.2">
      <c r="A312" s="425">
        <v>13</v>
      </c>
      <c r="B312" s="426" t="str">
        <f t="shared" si="18"/>
        <v>Lemmit Toomra, Tõnu Kapper</v>
      </c>
      <c r="C312" s="427">
        <f t="shared" si="19"/>
        <v>6</v>
      </c>
    </row>
    <row r="313" spans="1:6" x14ac:dyDescent="0.2">
      <c r="A313" s="425">
        <v>14</v>
      </c>
      <c r="B313" s="426" t="str">
        <f t="shared" ref="B313:B314" si="20">IFERROR(INDEX(B$1:B$95,MATCH(A313,A$1:A$95,0)),"")</f>
        <v>Boriss Klubov, Elmo Lageda</v>
      </c>
      <c r="C313" s="427">
        <f t="shared" ref="C313:C314" si="21">LARGE(A313:A413,1)*2+2-A313*2</f>
        <v>4</v>
      </c>
    </row>
    <row r="314" spans="1:6" x14ac:dyDescent="0.2">
      <c r="A314" s="425">
        <v>15</v>
      </c>
      <c r="B314" s="426" t="str">
        <f t="shared" si="20"/>
        <v>Vlad Arzantsev, Nikolai Arzantsev</v>
      </c>
      <c r="C314" s="427">
        <f t="shared" si="21"/>
        <v>2</v>
      </c>
    </row>
  </sheetData>
  <conditionalFormatting sqref="AJ7:AJ21 AH7:AH21 AL7:AL21">
    <cfRule type="expression" dxfId="559" priority="36">
      <formula>AND(AG7="",FIND(",",AH7))</formula>
    </cfRule>
    <cfRule type="expression" dxfId="558" priority="38">
      <formula>AND(AG7="",COUNTIF(AH7,"*,*")=0)</formula>
    </cfRule>
  </conditionalFormatting>
  <conditionalFormatting sqref="AF7:AF21">
    <cfRule type="expression" dxfId="557" priority="37">
      <formula>AND(AE7="",COUNTIF(AF7,"*,*")=0)</formula>
    </cfRule>
  </conditionalFormatting>
  <conditionalFormatting sqref="AN7:AN21 AP7:AP21">
    <cfRule type="expression" dxfId="556" priority="34">
      <formula>AND(AM7="",COUNTIF(AN7,"*,*")=0)</formula>
    </cfRule>
    <cfRule type="expression" dxfId="555" priority="35">
      <formula>AND(AM7="",FIND(",",AN7))</formula>
    </cfRule>
  </conditionalFormatting>
  <conditionalFormatting sqref="B300:B314">
    <cfRule type="expression" dxfId="554" priority="39">
      <formula>A300=3</formula>
    </cfRule>
    <cfRule type="expression" dxfId="553" priority="40">
      <formula>A300=2</formula>
    </cfRule>
    <cfRule type="expression" dxfId="552" priority="41">
      <formula>A300=1</formula>
    </cfRule>
    <cfRule type="containsBlanks" dxfId="551" priority="42">
      <formula>LEN(TRIM(B300))=0</formula>
    </cfRule>
    <cfRule type="duplicateValues" dxfId="550" priority="43"/>
  </conditionalFormatting>
  <conditionalFormatting sqref="A7:A21">
    <cfRule type="duplicateValues" dxfId="549" priority="33"/>
  </conditionalFormatting>
  <conditionalFormatting sqref="C7:C21">
    <cfRule type="expression" dxfId="548" priority="15">
      <formula>IF($C7&gt;$E7,TRUE)</formula>
    </cfRule>
  </conditionalFormatting>
  <conditionalFormatting sqref="E7:E21">
    <cfRule type="expression" dxfId="547" priority="16">
      <formula>IF($C7&lt;$E7,TRUE)</formula>
    </cfRule>
  </conditionalFormatting>
  <conditionalFormatting sqref="K7:K21">
    <cfRule type="expression" dxfId="546" priority="23">
      <formula>IF($K7&gt;$M7,TRUE)</formula>
    </cfRule>
  </conditionalFormatting>
  <conditionalFormatting sqref="M7:M21">
    <cfRule type="expression" dxfId="545" priority="24">
      <formula>IF($K7&lt;$M7,TRUE)</formula>
    </cfRule>
  </conditionalFormatting>
  <conditionalFormatting sqref="O7:O21">
    <cfRule type="expression" dxfId="544" priority="27">
      <formula>IF($O7&gt;$Q7,TRUE)</formula>
    </cfRule>
  </conditionalFormatting>
  <conditionalFormatting sqref="Q7:Q21">
    <cfRule type="expression" dxfId="543" priority="28">
      <formula>IF($O7&lt;$Q7,TRUE)</formula>
    </cfRule>
  </conditionalFormatting>
  <conditionalFormatting sqref="S7:S21">
    <cfRule type="expression" dxfId="542" priority="31">
      <formula>IF($S7&gt;$U7,TRUE)</formula>
    </cfRule>
  </conditionalFormatting>
  <conditionalFormatting sqref="U7:U21">
    <cfRule type="expression" dxfId="541" priority="32">
      <formula>IF($S7&lt;$U7,TRUE)</formula>
    </cfRule>
  </conditionalFormatting>
  <conditionalFormatting sqref="G7:G21">
    <cfRule type="expression" dxfId="540" priority="19">
      <formula>IF($G7&gt;$I7,TRUE)</formula>
    </cfRule>
  </conditionalFormatting>
  <conditionalFormatting sqref="I7:I21">
    <cfRule type="expression" dxfId="539" priority="20">
      <formula>IF($G7&lt;$I7,TRUE)</formula>
    </cfRule>
  </conditionalFormatting>
  <conditionalFormatting sqref="F7:F21">
    <cfRule type="containsText" dxfId="538" priority="6" operator="containsText" text="vaba voor">
      <formula>NOT(ISERROR(SEARCH("vaba voor",F7)))</formula>
    </cfRule>
  </conditionalFormatting>
  <conditionalFormatting sqref="N7:N21">
    <cfRule type="containsText" dxfId="537" priority="4" operator="containsText" text="vaba voor">
      <formula>NOT(ISERROR(SEARCH("vaba voor",N7)))</formula>
    </cfRule>
  </conditionalFormatting>
  <conditionalFormatting sqref="R7:R21">
    <cfRule type="containsText" dxfId="536" priority="7" operator="containsText" text="vaba voor">
      <formula>NOT(ISERROR(SEARCH("vaba voor",R7)))</formula>
    </cfRule>
  </conditionalFormatting>
  <conditionalFormatting sqref="V7:V21">
    <cfRule type="containsText" dxfId="535" priority="3" operator="containsText" text="vaba voor">
      <formula>NOT(ISERROR(SEARCH("vaba voor",V7)))</formula>
    </cfRule>
  </conditionalFormatting>
  <conditionalFormatting sqref="J7:J21">
    <cfRule type="containsText" dxfId="534" priority="5" operator="containsText" text="vaba voor">
      <formula>NOT(ISERROR(SEARCH("vaba voor",J7)))</formula>
    </cfRule>
  </conditionalFormatting>
  <conditionalFormatting sqref="C7:F21">
    <cfRule type="expression" dxfId="533" priority="11">
      <formula>IF(AND(ISNUMBER($C7),$C7=$E7),TRUE)</formula>
    </cfRule>
    <cfRule type="expression" dxfId="532" priority="13">
      <formula>IF($C7&gt;$E7,TRUE)</formula>
    </cfRule>
    <cfRule type="expression" dxfId="531" priority="14">
      <formula>IF($C7&lt;$E7,TRUE)</formula>
    </cfRule>
  </conditionalFormatting>
  <conditionalFormatting sqref="G7:J21">
    <cfRule type="expression" dxfId="530" priority="12">
      <formula>IF(AND(ISNUMBER($G7),$G7=$I7),TRUE)</formula>
    </cfRule>
    <cfRule type="expression" dxfId="529" priority="17">
      <formula>IF($G7&gt;$I7,TRUE)</formula>
    </cfRule>
    <cfRule type="expression" dxfId="528" priority="18">
      <formula>IF($G7&lt;$I7,TRUE)</formula>
    </cfRule>
  </conditionalFormatting>
  <conditionalFormatting sqref="K7:N21">
    <cfRule type="expression" dxfId="527" priority="10">
      <formula>IF(AND(ISNUMBER($K7),$K7=$M7),TRUE)</formula>
    </cfRule>
    <cfRule type="expression" dxfId="526" priority="21">
      <formula>IF($K7&gt;$M7,TRUE)</formula>
    </cfRule>
    <cfRule type="expression" dxfId="525" priority="22">
      <formula>IF($K7&lt;$M7,TRUE)</formula>
    </cfRule>
  </conditionalFormatting>
  <conditionalFormatting sqref="O7:R21">
    <cfRule type="expression" dxfId="524" priority="9">
      <formula>IF(AND(ISNUMBER($O7),$O7=$Q7),TRUE)</formula>
    </cfRule>
    <cfRule type="expression" dxfId="523" priority="25">
      <formula>IF($O7&gt;$Q7,TRUE)</formula>
    </cfRule>
    <cfRule type="expression" dxfId="522" priority="26">
      <formula>IF($O7&lt;$Q7,TRUE)</formula>
    </cfRule>
  </conditionalFormatting>
  <conditionalFormatting sqref="S7:V21">
    <cfRule type="expression" dxfId="521" priority="8">
      <formula>IF(AND(ISNUMBER($S7),$S7=$U7),TRUE)</formula>
    </cfRule>
    <cfRule type="expression" dxfId="520" priority="29">
      <formula>IF($S7&gt;$U7,TRUE)</formula>
    </cfRule>
    <cfRule type="expression" dxfId="519" priority="30">
      <formula>IF($S7&lt;$U7,TRUE)</formula>
    </cfRule>
  </conditionalFormatting>
  <conditionalFormatting sqref="C7:C21 G7:G21 K7:K21 O7:O21 S7:S21">
    <cfRule type="expression" dxfId="518" priority="1">
      <formula>AND(C7=0,E7=13)</formula>
    </cfRule>
  </conditionalFormatting>
  <conditionalFormatting sqref="E7:E21 I7:I21 M7:M21 Q7:Q21 U7:U21">
    <cfRule type="expression" dxfId="517" priority="2">
      <formula>AND(E7=0,C7=13)</formula>
    </cfRule>
  </conditionalFormatting>
  <pageMargins left="0.39370078740157483" right="0.39370078740157483" top="0.78740157480314965" bottom="0.39370078740157483" header="0.78740157480314965" footer="0"/>
  <pageSetup paperSize="9" fitToHeight="0" orientation="landscape" verticalDpi="1200" r:id="rId1"/>
  <headerFooter>
    <oddHeader>&amp;R&amp;P. leht &amp;N&amp; -st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P314"/>
  <sheetViews>
    <sheetView showGridLines="0" showRowColHeaders="0" workbookViewId="0">
      <pane ySplit="1" topLeftCell="A2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1" width="3.28515625" style="377" customWidth="1"/>
    <col min="2" max="2" width="35.85546875" style="377" bestFit="1" customWidth="1"/>
    <col min="3" max="3" width="4.7109375" style="377" customWidth="1"/>
    <col min="4" max="4" width="1.140625" style="377" customWidth="1"/>
    <col min="5" max="5" width="2.7109375" style="377" customWidth="1"/>
    <col min="6" max="6" width="9.140625" style="377"/>
    <col min="7" max="7" width="2.7109375" style="377" customWidth="1"/>
    <col min="8" max="8" width="1.140625" style="377" customWidth="1"/>
    <col min="9" max="9" width="2.7109375" style="377" customWidth="1"/>
    <col min="10" max="10" width="9.140625" style="377"/>
    <col min="11" max="11" width="2.7109375" style="377" customWidth="1"/>
    <col min="12" max="12" width="1.140625" style="377" customWidth="1"/>
    <col min="13" max="13" width="2.7109375" style="377" customWidth="1"/>
    <col min="14" max="14" width="9.140625" style="377"/>
    <col min="15" max="15" width="2.7109375" style="377" customWidth="1"/>
    <col min="16" max="16" width="1.140625" style="377" customWidth="1"/>
    <col min="17" max="17" width="2.7109375" style="377" customWidth="1"/>
    <col min="18" max="18" width="9.140625" style="377"/>
    <col min="19" max="19" width="2.7109375" style="377" hidden="1" customWidth="1"/>
    <col min="20" max="20" width="1.140625" style="377" hidden="1" customWidth="1"/>
    <col min="21" max="21" width="2.7109375" style="377" hidden="1" customWidth="1"/>
    <col min="22" max="22" width="0" style="377" hidden="1" customWidth="1"/>
    <col min="23" max="23" width="5.7109375" style="377" customWidth="1"/>
    <col min="24" max="24" width="5.5703125" style="377" customWidth="1"/>
    <col min="25" max="25" width="7.42578125" style="377" customWidth="1"/>
    <col min="26" max="26" width="2.7109375" style="377" customWidth="1"/>
    <col min="27" max="27" width="1.140625" style="377" customWidth="1"/>
    <col min="28" max="28" width="2.7109375" style="377" customWidth="1"/>
    <col min="29" max="29" width="4.7109375" style="377" customWidth="1"/>
    <col min="30" max="31" width="9.140625" style="377" hidden="1" customWidth="1"/>
    <col min="32" max="32" width="17" style="377" hidden="1" customWidth="1"/>
    <col min="33" max="33" width="9.140625" style="377" hidden="1" customWidth="1"/>
    <col min="34" max="34" width="18.28515625" style="377" hidden="1" customWidth="1"/>
    <col min="35" max="35" width="9.140625" style="377" hidden="1" customWidth="1"/>
    <col min="36" max="36" width="17.28515625" style="377" hidden="1" customWidth="1"/>
    <col min="37" max="37" width="9.140625" style="377" hidden="1" customWidth="1"/>
    <col min="38" max="38" width="13.85546875" style="377" hidden="1" customWidth="1"/>
    <col min="39" max="39" width="9.140625" style="377" hidden="1" customWidth="1"/>
    <col min="40" max="40" width="17.28515625" style="377" hidden="1" customWidth="1"/>
    <col min="41" max="41" width="9.140625" style="377" hidden="1" customWidth="1"/>
    <col min="42" max="42" width="13.85546875" style="377" hidden="1" customWidth="1"/>
    <col min="43" max="16384" width="9.140625" style="377"/>
  </cols>
  <sheetData>
    <row r="1" spans="1:42" x14ac:dyDescent="0.2">
      <c r="A1" s="376" t="str">
        <f>UPPER((Kalend!E11)&amp;" - "&amp;(Kalend!C11))&amp;" - "&amp;LOWER(Kalend!D11)&amp;" - "&amp;(Kalend!A11)&amp;" kell "&amp;(Kalend!B11)&amp;" - "&amp;(Kalend!F11)</f>
        <v>V3 - VOKA X KV 3. ETAPP - duo - K, 07.06.2023 kell 18:00 - Voka staadion</v>
      </c>
      <c r="O1" s="378"/>
      <c r="P1" s="378"/>
      <c r="Q1" s="379"/>
      <c r="R1" s="379"/>
      <c r="S1" s="379"/>
      <c r="T1" s="380"/>
      <c r="U1" s="380"/>
      <c r="V1" s="380"/>
      <c r="W1" s="378"/>
      <c r="X1" s="381"/>
      <c r="Y1" s="378"/>
      <c r="Z1" s="378"/>
      <c r="AD1" s="382" t="s">
        <v>133</v>
      </c>
      <c r="AE1" s="383"/>
      <c r="AF1" s="383"/>
      <c r="AG1" s="383"/>
      <c r="AH1" s="383"/>
      <c r="AI1" s="383"/>
      <c r="AJ1" s="383"/>
      <c r="AK1" s="383"/>
      <c r="AL1" s="383"/>
      <c r="AM1" s="383"/>
      <c r="AN1" s="383"/>
      <c r="AO1" s="384"/>
      <c r="AP1" s="384"/>
    </row>
    <row r="2" spans="1:42" x14ac:dyDescent="0.2">
      <c r="A2" s="385"/>
      <c r="F2" s="378"/>
      <c r="L2" s="386"/>
      <c r="M2" s="386"/>
      <c r="N2" s="386"/>
      <c r="O2" s="378"/>
      <c r="P2" s="378"/>
      <c r="Q2" s="378"/>
      <c r="R2" s="387" t="s">
        <v>292</v>
      </c>
      <c r="S2" s="378"/>
      <c r="T2" s="386"/>
      <c r="U2" s="386"/>
      <c r="V2" s="386"/>
      <c r="W2" s="388">
        <v>1</v>
      </c>
      <c r="X2" s="389" t="s">
        <v>293</v>
      </c>
      <c r="Y2" s="378"/>
      <c r="Z2" s="378"/>
      <c r="AA2" s="378"/>
      <c r="AB2" s="378"/>
      <c r="AE2" s="378"/>
      <c r="AG2" s="378"/>
      <c r="AH2" s="378"/>
      <c r="AI2" s="378"/>
      <c r="AJ2" s="378"/>
      <c r="AK2" s="378"/>
      <c r="AL2" s="378"/>
      <c r="AM2" s="378"/>
      <c r="AN2" s="378"/>
    </row>
    <row r="3" spans="1:42" x14ac:dyDescent="0.2">
      <c r="A3" s="385"/>
      <c r="F3" s="378"/>
      <c r="L3" s="378"/>
      <c r="M3" s="378"/>
      <c r="N3" s="378"/>
      <c r="O3" s="378"/>
      <c r="P3" s="378"/>
      <c r="Q3" s="378"/>
      <c r="R3" s="390" t="s">
        <v>294</v>
      </c>
      <c r="S3" s="378"/>
      <c r="T3" s="378"/>
      <c r="U3" s="378"/>
      <c r="V3" s="378"/>
      <c r="W3" s="388">
        <v>0.5</v>
      </c>
      <c r="X3" s="389" t="s">
        <v>293</v>
      </c>
      <c r="Y3" s="378"/>
      <c r="Z3" s="378"/>
      <c r="AA3" s="378"/>
      <c r="AB3" s="378"/>
      <c r="AE3" s="386"/>
      <c r="AF3" s="386"/>
      <c r="AG3" s="386"/>
      <c r="AH3" s="391"/>
      <c r="AI3" s="386"/>
      <c r="AJ3" s="386"/>
      <c r="AK3" s="386"/>
      <c r="AL3" s="386"/>
      <c r="AM3" s="386"/>
      <c r="AN3" s="386"/>
      <c r="AO3" s="386"/>
      <c r="AP3" s="386"/>
    </row>
    <row r="4" spans="1:42" x14ac:dyDescent="0.2">
      <c r="F4" s="378"/>
      <c r="L4" s="378"/>
      <c r="M4" s="378"/>
      <c r="N4" s="378"/>
      <c r="O4" s="378"/>
      <c r="P4" s="378"/>
      <c r="Q4" s="378"/>
      <c r="R4" s="392" t="s">
        <v>295</v>
      </c>
      <c r="S4" s="378"/>
      <c r="T4" s="378"/>
      <c r="U4" s="378"/>
      <c r="V4" s="378"/>
      <c r="W4" s="388">
        <v>0</v>
      </c>
      <c r="X4" s="389" t="s">
        <v>293</v>
      </c>
      <c r="Y4" s="378"/>
      <c r="Z4" s="378"/>
      <c r="AA4" s="378"/>
      <c r="AB4" s="378"/>
    </row>
    <row r="5" spans="1:42" x14ac:dyDescent="0.2">
      <c r="F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W5" s="378"/>
      <c r="X5" s="378"/>
      <c r="Y5" s="378"/>
      <c r="Z5" s="378"/>
      <c r="AA5" s="378"/>
      <c r="AB5" s="393" t="s">
        <v>296</v>
      </c>
      <c r="AD5" s="394" t="s">
        <v>297</v>
      </c>
    </row>
    <row r="6" spans="1:42" x14ac:dyDescent="0.2">
      <c r="A6" s="395" t="s">
        <v>157</v>
      </c>
      <c r="B6" s="395" t="s">
        <v>156</v>
      </c>
      <c r="C6" s="396" t="s">
        <v>298</v>
      </c>
      <c r="D6" s="397"/>
      <c r="E6" s="397"/>
      <c r="F6" s="398"/>
      <c r="G6" s="396" t="s">
        <v>299</v>
      </c>
      <c r="H6" s="397"/>
      <c r="I6" s="397"/>
      <c r="J6" s="398"/>
      <c r="K6" s="396" t="s">
        <v>300</v>
      </c>
      <c r="L6" s="397"/>
      <c r="M6" s="397"/>
      <c r="N6" s="398"/>
      <c r="O6" s="396" t="s">
        <v>301</v>
      </c>
      <c r="P6" s="397"/>
      <c r="Q6" s="397"/>
      <c r="R6" s="398"/>
      <c r="S6" s="396" t="s">
        <v>302</v>
      </c>
      <c r="T6" s="397"/>
      <c r="U6" s="397"/>
      <c r="V6" s="398"/>
      <c r="W6" s="395" t="s">
        <v>142</v>
      </c>
      <c r="X6" s="399" t="s">
        <v>303</v>
      </c>
      <c r="Y6" s="395" t="s">
        <v>304</v>
      </c>
      <c r="Z6" s="399"/>
      <c r="AA6" s="400" t="s">
        <v>305</v>
      </c>
      <c r="AB6" s="401"/>
      <c r="AC6" s="402" t="s">
        <v>306</v>
      </c>
      <c r="AD6" s="403" t="s">
        <v>261</v>
      </c>
      <c r="AE6" s="404"/>
      <c r="AF6" s="404" t="s">
        <v>307</v>
      </c>
      <c r="AG6" s="404"/>
      <c r="AH6" s="405" t="s">
        <v>308</v>
      </c>
      <c r="AI6" s="404"/>
      <c r="AJ6" s="404" t="s">
        <v>309</v>
      </c>
      <c r="AK6" s="406"/>
      <c r="AL6" s="404" t="s">
        <v>310</v>
      </c>
      <c r="AM6" s="406"/>
      <c r="AN6" s="406" t="s">
        <v>311</v>
      </c>
      <c r="AO6" s="407"/>
      <c r="AP6" s="406" t="s">
        <v>312</v>
      </c>
    </row>
    <row r="7" spans="1:42" x14ac:dyDescent="0.2">
      <c r="A7" s="408">
        <v>1</v>
      </c>
      <c r="B7" s="420" t="s">
        <v>388</v>
      </c>
      <c r="C7" s="410">
        <v>13</v>
      </c>
      <c r="D7" s="411" t="s">
        <v>313</v>
      </c>
      <c r="E7" s="411">
        <v>2</v>
      </c>
      <c r="F7" s="412" t="s">
        <v>394</v>
      </c>
      <c r="G7" s="410">
        <v>12</v>
      </c>
      <c r="H7" s="411" t="s">
        <v>313</v>
      </c>
      <c r="I7" s="411">
        <v>10</v>
      </c>
      <c r="J7" s="412" t="s">
        <v>324</v>
      </c>
      <c r="K7" s="410">
        <v>10</v>
      </c>
      <c r="L7" s="411" t="s">
        <v>313</v>
      </c>
      <c r="M7" s="411">
        <v>8</v>
      </c>
      <c r="N7" s="412" t="s">
        <v>399</v>
      </c>
      <c r="O7" s="410">
        <v>13</v>
      </c>
      <c r="P7" s="411" t="s">
        <v>313</v>
      </c>
      <c r="Q7" s="411">
        <v>6</v>
      </c>
      <c r="R7" s="412" t="s">
        <v>323</v>
      </c>
      <c r="S7" s="410"/>
      <c r="T7" s="411"/>
      <c r="U7" s="411"/>
      <c r="V7" s="412"/>
      <c r="W7" s="413">
        <f t="shared" ref="W7:W19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4</v>
      </c>
      <c r="X7" s="414">
        <v>16</v>
      </c>
      <c r="Y7" s="414">
        <v>86</v>
      </c>
      <c r="Z7" s="410">
        <f t="shared" ref="Z7:Z19" si="1">C7+G7+K7+O7+S7</f>
        <v>48</v>
      </c>
      <c r="AA7" s="411" t="s">
        <v>313</v>
      </c>
      <c r="AB7" s="415">
        <f t="shared" ref="AB7:AB19" si="2">E7+I7+M7+Q7+U7</f>
        <v>26</v>
      </c>
      <c r="AC7" s="416">
        <f t="shared" ref="AC7:AC19" si="3">Z7-AB7</f>
        <v>22</v>
      </c>
      <c r="AD7" s="417">
        <f t="shared" ref="AD7:AD10" si="4">SUM(AE7:AL7)</f>
        <v>350</v>
      </c>
      <c r="AE7" s="418">
        <f>IFERROR(INDEX(V!$R:$R,MATCH(AF7,V!$L:$L,0)),"")</f>
        <v>234</v>
      </c>
      <c r="AF7" s="419" t="str">
        <f t="shared" ref="AF7:AF21" si="5">IFERROR(LEFT($B7,(FIND(",",$B7,1)-1)),"")</f>
        <v>Kenneth Muusikus</v>
      </c>
      <c r="AG7" s="418">
        <f>IFERROR(INDEX(V!$R:$R,MATCH(AH7,V!$L:$L,0)),"")</f>
        <v>116</v>
      </c>
      <c r="AH7" s="419" t="str">
        <f t="shared" ref="AH7:AH21" si="6">IFERROR(MID($B7,FIND(", ",$B7)+2,256),"")</f>
        <v>Urmas Jõeäär</v>
      </c>
      <c r="AI7" s="418" t="str">
        <f>IFERROR(INDEX(V!$R:$R,MATCH(AJ7,V!$L:$L,0)),"")</f>
        <v/>
      </c>
      <c r="AJ7" s="419" t="str">
        <f t="shared" ref="AJ7:AJ21" si="7">IFERROR(MID($B7,FIND("^",SUBSTITUTE($B7,", ","^",1))+2,FIND("^",SUBSTITUTE($B7,", ","^",2))-FIND("^",SUBSTITUTE($B7,", ","^",1))-2),"")</f>
        <v/>
      </c>
      <c r="AK7" s="418" t="str">
        <f>IFERROR(INDEX(V!$R:$R,MATCH(AL7,V!$L:$L,0)),"")</f>
        <v/>
      </c>
      <c r="AL7" s="419" t="str">
        <f t="shared" ref="AL7:AL21" si="8">IFERROR(MID($B7,FIND(", ",$B7,FIND(", ",$B7,FIND(", ",$B7))+1)+2,30000),"")</f>
        <v/>
      </c>
      <c r="AM7" s="418" t="str">
        <f>IFERROR(INDEX(V!$R:$R,MATCH(AN7,V!$L:$L,0)),"")</f>
        <v/>
      </c>
      <c r="AN7" s="419" t="str">
        <f t="shared" ref="AN7:AN21" si="9">IFERROR(MID($B7,FIND(", ",$B7,FIND(", ",$B7)+1)+2,FIND(", ",$B7,FIND(", ",$B7,FIND(", ",$B7)+1)+1)-FIND(", ",$B7,FIND(", ",$B7)+1)-2),"")</f>
        <v/>
      </c>
      <c r="AO7" s="418" t="str">
        <f>IFERROR(INDEX(V!$R:$R,MATCH(AP7,V!$L:$L,0)),"")</f>
        <v/>
      </c>
      <c r="AP7" s="419" t="str">
        <f t="shared" ref="AP7:AP21" si="10">IFERROR(MID($B7,FIND(", ",$B7,FIND(", ",$B7,FIND(", ",$B7)+1)+1)+2,30000),"")</f>
        <v/>
      </c>
    </row>
    <row r="8" spans="1:42" x14ac:dyDescent="0.2">
      <c r="A8" s="408">
        <v>2</v>
      </c>
      <c r="B8" s="420" t="s">
        <v>323</v>
      </c>
      <c r="C8" s="410">
        <v>13</v>
      </c>
      <c r="D8" s="411" t="s">
        <v>313</v>
      </c>
      <c r="E8" s="411">
        <v>7</v>
      </c>
      <c r="F8" s="412" t="s">
        <v>400</v>
      </c>
      <c r="G8" s="410">
        <v>13</v>
      </c>
      <c r="H8" s="411" t="s">
        <v>313</v>
      </c>
      <c r="I8" s="411">
        <v>1</v>
      </c>
      <c r="J8" s="412" t="s">
        <v>401</v>
      </c>
      <c r="K8" s="410">
        <v>13</v>
      </c>
      <c r="L8" s="411" t="s">
        <v>313</v>
      </c>
      <c r="M8" s="411">
        <v>10</v>
      </c>
      <c r="N8" s="412" t="s">
        <v>319</v>
      </c>
      <c r="O8" s="410">
        <v>6</v>
      </c>
      <c r="P8" s="411" t="s">
        <v>313</v>
      </c>
      <c r="Q8" s="411">
        <v>13</v>
      </c>
      <c r="R8" s="412" t="s">
        <v>388</v>
      </c>
      <c r="S8" s="410"/>
      <c r="T8" s="411"/>
      <c r="U8" s="411"/>
      <c r="V8" s="412"/>
      <c r="W8" s="413">
        <f t="shared" si="0"/>
        <v>3</v>
      </c>
      <c r="X8" s="414">
        <v>24</v>
      </c>
      <c r="Y8" s="414">
        <v>60</v>
      </c>
      <c r="Z8" s="410">
        <f t="shared" si="1"/>
        <v>45</v>
      </c>
      <c r="AA8" s="411" t="s">
        <v>313</v>
      </c>
      <c r="AB8" s="415">
        <f t="shared" si="2"/>
        <v>31</v>
      </c>
      <c r="AC8" s="416">
        <f t="shared" si="3"/>
        <v>14</v>
      </c>
      <c r="AD8" s="417">
        <f t="shared" si="4"/>
        <v>308</v>
      </c>
      <c r="AE8" s="418">
        <f>IFERROR(INDEX(V!$R:$R,MATCH(AF8,V!$L:$L,0)),"")</f>
        <v>154</v>
      </c>
      <c r="AF8" s="419" t="str">
        <f t="shared" si="5"/>
        <v>Kristel Tihhonjuk</v>
      </c>
      <c r="AG8" s="418">
        <f>IFERROR(INDEX(V!$R:$R,MATCH(AH8,V!$L:$L,0)),"")</f>
        <v>154</v>
      </c>
      <c r="AH8" s="419" t="str">
        <f t="shared" si="6"/>
        <v>Vadim Tihhonjuk</v>
      </c>
      <c r="AI8" s="418" t="str">
        <f>IFERROR(INDEX(V!$R:$R,MATCH(AJ8,V!$L:$L,0)),"")</f>
        <v/>
      </c>
      <c r="AJ8" s="419" t="str">
        <f t="shared" si="7"/>
        <v/>
      </c>
      <c r="AK8" s="418" t="str">
        <f>IFERROR(INDEX(V!$R:$R,MATCH(AL8,V!$L:$L,0)),"")</f>
        <v/>
      </c>
      <c r="AL8" s="419" t="str">
        <f t="shared" si="8"/>
        <v/>
      </c>
      <c r="AM8" s="418" t="str">
        <f>IFERROR(INDEX(V!$R:$R,MATCH(AN8,V!$L:$L,0)),"")</f>
        <v/>
      </c>
      <c r="AN8" s="419" t="str">
        <f t="shared" si="9"/>
        <v/>
      </c>
      <c r="AO8" s="418" t="str">
        <f>IFERROR(INDEX(V!$R:$R,MATCH(AP8,V!$L:$L,0)),"")</f>
        <v/>
      </c>
      <c r="AP8" s="419" t="str">
        <f t="shared" si="10"/>
        <v/>
      </c>
    </row>
    <row r="9" spans="1:42" x14ac:dyDescent="0.2">
      <c r="A9" s="408">
        <v>3</v>
      </c>
      <c r="B9" s="421" t="s">
        <v>401</v>
      </c>
      <c r="C9" s="410">
        <v>13</v>
      </c>
      <c r="D9" s="411" t="s">
        <v>313</v>
      </c>
      <c r="E9" s="411">
        <v>3</v>
      </c>
      <c r="F9" s="412" t="s">
        <v>402</v>
      </c>
      <c r="G9" s="410">
        <v>1</v>
      </c>
      <c r="H9" s="411" t="s">
        <v>313</v>
      </c>
      <c r="I9" s="411">
        <v>13</v>
      </c>
      <c r="J9" s="412" t="s">
        <v>323</v>
      </c>
      <c r="K9" s="410">
        <v>13</v>
      </c>
      <c r="L9" s="411" t="s">
        <v>313</v>
      </c>
      <c r="M9" s="411">
        <v>7</v>
      </c>
      <c r="N9" s="412" t="s">
        <v>322</v>
      </c>
      <c r="O9" s="410">
        <v>13</v>
      </c>
      <c r="P9" s="411" t="s">
        <v>313</v>
      </c>
      <c r="Q9" s="411">
        <v>3</v>
      </c>
      <c r="R9" s="412" t="s">
        <v>399</v>
      </c>
      <c r="S9" s="410"/>
      <c r="T9" s="411"/>
      <c r="U9" s="411"/>
      <c r="V9" s="412"/>
      <c r="W9" s="413">
        <f t="shared" si="0"/>
        <v>3</v>
      </c>
      <c r="X9" s="414">
        <v>16</v>
      </c>
      <c r="Y9" s="414">
        <v>74</v>
      </c>
      <c r="Z9" s="410">
        <f t="shared" si="1"/>
        <v>40</v>
      </c>
      <c r="AA9" s="411" t="s">
        <v>313</v>
      </c>
      <c r="AB9" s="415">
        <f t="shared" si="2"/>
        <v>26</v>
      </c>
      <c r="AC9" s="416">
        <f t="shared" si="3"/>
        <v>14</v>
      </c>
      <c r="AD9" s="417">
        <f t="shared" si="4"/>
        <v>162</v>
      </c>
      <c r="AE9" s="418">
        <f>IFERROR(INDEX(V!$R:$R,MATCH(AF9,V!$L:$L,0)),"")</f>
        <v>54</v>
      </c>
      <c r="AF9" s="419" t="str">
        <f t="shared" si="5"/>
        <v>Hillar Neiland</v>
      </c>
      <c r="AG9" s="418">
        <f>IFERROR(INDEX(V!$R:$R,MATCH(AH9,V!$L:$L,0)),"")</f>
        <v>108</v>
      </c>
      <c r="AH9" s="419" t="str">
        <f t="shared" si="6"/>
        <v>Marko Rooden</v>
      </c>
      <c r="AI9" s="418" t="str">
        <f>IFERROR(INDEX(V!$R:$R,MATCH(AJ9,V!$L:$L,0)),"")</f>
        <v/>
      </c>
      <c r="AJ9" s="419" t="str">
        <f t="shared" si="7"/>
        <v/>
      </c>
      <c r="AK9" s="418" t="str">
        <f>IFERROR(INDEX(V!$R:$R,MATCH(AL9,V!$L:$L,0)),"")</f>
        <v/>
      </c>
      <c r="AL9" s="419" t="str">
        <f t="shared" si="8"/>
        <v/>
      </c>
      <c r="AM9" s="418" t="str">
        <f>IFERROR(INDEX(V!$R:$R,MATCH(AN9,V!$L:$L,0)),"")</f>
        <v/>
      </c>
      <c r="AN9" s="419" t="str">
        <f t="shared" si="9"/>
        <v/>
      </c>
      <c r="AO9" s="418" t="str">
        <f>IFERROR(INDEX(V!$R:$R,MATCH(AP9,V!$L:$L,0)),"")</f>
        <v/>
      </c>
      <c r="AP9" s="419" t="str">
        <f t="shared" si="10"/>
        <v/>
      </c>
    </row>
    <row r="10" spans="1:42" x14ac:dyDescent="0.2">
      <c r="A10" s="408">
        <v>4</v>
      </c>
      <c r="B10" s="421" t="s">
        <v>319</v>
      </c>
      <c r="C10" s="410">
        <v>10</v>
      </c>
      <c r="D10" s="411" t="s">
        <v>313</v>
      </c>
      <c r="E10" s="411">
        <v>9</v>
      </c>
      <c r="F10" s="412" t="s">
        <v>395</v>
      </c>
      <c r="G10" s="410">
        <v>13</v>
      </c>
      <c r="H10" s="411" t="s">
        <v>313</v>
      </c>
      <c r="I10" s="411">
        <v>5</v>
      </c>
      <c r="J10" s="412" t="s">
        <v>322</v>
      </c>
      <c r="K10" s="410">
        <v>10</v>
      </c>
      <c r="L10" s="411" t="s">
        <v>313</v>
      </c>
      <c r="M10" s="411">
        <v>13</v>
      </c>
      <c r="N10" s="412" t="s">
        <v>323</v>
      </c>
      <c r="O10" s="410">
        <v>13</v>
      </c>
      <c r="P10" s="411" t="s">
        <v>313</v>
      </c>
      <c r="Q10" s="411">
        <v>4</v>
      </c>
      <c r="R10" s="412" t="s">
        <v>403</v>
      </c>
      <c r="S10" s="410"/>
      <c r="T10" s="411"/>
      <c r="U10" s="411"/>
      <c r="V10" s="412"/>
      <c r="W10" s="413">
        <f t="shared" si="0"/>
        <v>3</v>
      </c>
      <c r="X10" s="414">
        <v>16</v>
      </c>
      <c r="Y10" s="414">
        <v>70</v>
      </c>
      <c r="Z10" s="410">
        <f t="shared" si="1"/>
        <v>46</v>
      </c>
      <c r="AA10" s="411" t="s">
        <v>313</v>
      </c>
      <c r="AB10" s="415">
        <f t="shared" si="2"/>
        <v>31</v>
      </c>
      <c r="AC10" s="416">
        <f t="shared" si="3"/>
        <v>15</v>
      </c>
      <c r="AD10" s="417">
        <f t="shared" si="4"/>
        <v>222</v>
      </c>
      <c r="AE10" s="418">
        <f>IFERROR(INDEX(V!$R:$R,MATCH(AF10,V!$L:$L,0)),"")</f>
        <v>156</v>
      </c>
      <c r="AF10" s="419" t="str">
        <f t="shared" si="5"/>
        <v>Aleksander Korikov</v>
      </c>
      <c r="AG10" s="418">
        <f>IFERROR(INDEX(V!$R:$R,MATCH(AH10,V!$L:$L,0)),"")</f>
        <v>66</v>
      </c>
      <c r="AH10" s="419" t="str">
        <f t="shared" si="6"/>
        <v>Oksana Rõndenkova</v>
      </c>
      <c r="AI10" s="418" t="str">
        <f>IFERROR(INDEX(V!$R:$R,MATCH(AJ10,V!$L:$L,0)),"")</f>
        <v/>
      </c>
      <c r="AJ10" s="419" t="str">
        <f t="shared" si="7"/>
        <v/>
      </c>
      <c r="AK10" s="418" t="str">
        <f>IFERROR(INDEX(V!$R:$R,MATCH(AL10,V!$L:$L,0)),"")</f>
        <v/>
      </c>
      <c r="AL10" s="419" t="str">
        <f t="shared" si="8"/>
        <v/>
      </c>
      <c r="AM10" s="418" t="str">
        <f>IFERROR(INDEX(V!$R:$R,MATCH(AN10,V!$L:$L,0)),"")</f>
        <v/>
      </c>
      <c r="AN10" s="419" t="str">
        <f t="shared" si="9"/>
        <v/>
      </c>
      <c r="AO10" s="418" t="str">
        <f>IFERROR(INDEX(V!$R:$R,MATCH(AP10,V!$L:$L,0)),"")</f>
        <v/>
      </c>
      <c r="AP10" s="419" t="str">
        <f t="shared" si="10"/>
        <v/>
      </c>
    </row>
    <row r="11" spans="1:42" x14ac:dyDescent="0.2">
      <c r="A11" s="408">
        <v>5</v>
      </c>
      <c r="B11" s="420" t="s">
        <v>404</v>
      </c>
      <c r="C11" s="410">
        <v>12</v>
      </c>
      <c r="D11" s="411" t="s">
        <v>313</v>
      </c>
      <c r="E11" s="411">
        <v>13</v>
      </c>
      <c r="F11" s="412" t="s">
        <v>399</v>
      </c>
      <c r="G11" s="410">
        <v>13</v>
      </c>
      <c r="H11" s="411" t="s">
        <v>313</v>
      </c>
      <c r="I11" s="411">
        <v>1</v>
      </c>
      <c r="J11" s="412" t="s">
        <v>395</v>
      </c>
      <c r="K11" s="410">
        <v>13</v>
      </c>
      <c r="L11" s="411" t="s">
        <v>313</v>
      </c>
      <c r="M11" s="411">
        <v>2</v>
      </c>
      <c r="N11" s="412" t="s">
        <v>394</v>
      </c>
      <c r="O11" s="410">
        <v>13</v>
      </c>
      <c r="P11" s="411" t="s">
        <v>313</v>
      </c>
      <c r="Q11" s="411">
        <v>5</v>
      </c>
      <c r="R11" s="412" t="s">
        <v>405</v>
      </c>
      <c r="S11" s="410"/>
      <c r="T11" s="411"/>
      <c r="U11" s="411"/>
      <c r="V11" s="412"/>
      <c r="W11" s="413">
        <f t="shared" si="0"/>
        <v>3</v>
      </c>
      <c r="X11" s="414">
        <v>12</v>
      </c>
      <c r="Y11" s="414">
        <v>72</v>
      </c>
      <c r="Z11" s="410">
        <f t="shared" si="1"/>
        <v>51</v>
      </c>
      <c r="AA11" s="411" t="s">
        <v>313</v>
      </c>
      <c r="AB11" s="415">
        <f t="shared" si="2"/>
        <v>21</v>
      </c>
      <c r="AC11" s="416">
        <f t="shared" si="3"/>
        <v>30</v>
      </c>
      <c r="AD11" s="417">
        <f t="shared" ref="AD11:AD13" si="11">SUM(AE11:AL11)</f>
        <v>212</v>
      </c>
      <c r="AE11" s="418">
        <f>IFERROR(INDEX(V!$R:$R,MATCH(AF11,V!$L:$L,0)),"")</f>
        <v>130</v>
      </c>
      <c r="AF11" s="419" t="str">
        <f t="shared" si="5"/>
        <v>Kaspar Mänd</v>
      </c>
      <c r="AG11" s="418">
        <f>IFERROR(INDEX(V!$R:$R,MATCH(AH11,V!$L:$L,0)),"")</f>
        <v>82</v>
      </c>
      <c r="AH11" s="419" t="str">
        <f t="shared" si="6"/>
        <v>Matti Vinni</v>
      </c>
      <c r="AI11" s="418" t="str">
        <f>IFERROR(INDEX(V!$R:$R,MATCH(AJ11,V!$L:$L,0)),"")</f>
        <v/>
      </c>
      <c r="AJ11" s="419" t="str">
        <f t="shared" si="7"/>
        <v/>
      </c>
      <c r="AK11" s="418" t="str">
        <f>IFERROR(INDEX(V!$R:$R,MATCH(AL11,V!$L:$L,0)),"")</f>
        <v/>
      </c>
      <c r="AL11" s="419" t="str">
        <f t="shared" si="8"/>
        <v/>
      </c>
      <c r="AM11" s="418" t="str">
        <f>IFERROR(INDEX(V!$R:$R,MATCH(AN11,V!$L:$L,0)),"")</f>
        <v/>
      </c>
      <c r="AN11" s="419" t="str">
        <f t="shared" si="9"/>
        <v/>
      </c>
      <c r="AO11" s="418" t="str">
        <f>IFERROR(INDEX(V!$R:$R,MATCH(AP11,V!$L:$L,0)),"")</f>
        <v/>
      </c>
      <c r="AP11" s="419" t="str">
        <f t="shared" si="10"/>
        <v/>
      </c>
    </row>
    <row r="12" spans="1:42" x14ac:dyDescent="0.2">
      <c r="A12" s="408">
        <v>6</v>
      </c>
      <c r="B12" s="421" t="s">
        <v>387</v>
      </c>
      <c r="C12" s="410">
        <v>13</v>
      </c>
      <c r="D12" s="411" t="s">
        <v>313</v>
      </c>
      <c r="E12" s="411">
        <v>12</v>
      </c>
      <c r="F12" s="412" t="s">
        <v>404</v>
      </c>
      <c r="G12" s="410">
        <v>13</v>
      </c>
      <c r="H12" s="411" t="s">
        <v>313</v>
      </c>
      <c r="I12" s="411">
        <v>6</v>
      </c>
      <c r="J12" s="412" t="s">
        <v>403</v>
      </c>
      <c r="K12" s="410">
        <v>8</v>
      </c>
      <c r="L12" s="411" t="s">
        <v>313</v>
      </c>
      <c r="M12" s="411">
        <v>10</v>
      </c>
      <c r="N12" s="412" t="s">
        <v>388</v>
      </c>
      <c r="O12" s="410">
        <v>3</v>
      </c>
      <c r="P12" s="411" t="s">
        <v>313</v>
      </c>
      <c r="Q12" s="411">
        <v>13</v>
      </c>
      <c r="R12" s="412" t="s">
        <v>401</v>
      </c>
      <c r="S12" s="410"/>
      <c r="T12" s="411"/>
      <c r="U12" s="411"/>
      <c r="V12" s="412"/>
      <c r="W12" s="413">
        <f t="shared" si="0"/>
        <v>2</v>
      </c>
      <c r="X12" s="414">
        <v>24</v>
      </c>
      <c r="Y12" s="414">
        <v>60</v>
      </c>
      <c r="Z12" s="410">
        <f t="shared" si="1"/>
        <v>37</v>
      </c>
      <c r="AA12" s="411" t="s">
        <v>313</v>
      </c>
      <c r="AB12" s="415">
        <f t="shared" si="2"/>
        <v>41</v>
      </c>
      <c r="AC12" s="416">
        <f t="shared" si="3"/>
        <v>-4</v>
      </c>
      <c r="AD12" s="417">
        <f t="shared" si="11"/>
        <v>226</v>
      </c>
      <c r="AE12" s="418">
        <f>IFERROR(INDEX(V!$R:$R,MATCH(AF12,V!$L:$L,0)),"")</f>
        <v>102</v>
      </c>
      <c r="AF12" s="419" t="str">
        <f t="shared" si="5"/>
        <v>Ljudmila Varendi</v>
      </c>
      <c r="AG12" s="418">
        <f>IFERROR(INDEX(V!$R:$R,MATCH(AH12,V!$L:$L,0)),"")</f>
        <v>124</v>
      </c>
      <c r="AH12" s="419" t="str">
        <f t="shared" si="6"/>
        <v>Viktor Švarõgin</v>
      </c>
      <c r="AI12" s="418" t="str">
        <f>IFERROR(INDEX(V!$R:$R,MATCH(AJ12,V!$L:$L,0)),"")</f>
        <v/>
      </c>
      <c r="AJ12" s="419" t="str">
        <f t="shared" si="7"/>
        <v/>
      </c>
      <c r="AK12" s="418" t="str">
        <f>IFERROR(INDEX(V!$R:$R,MATCH(AL12,V!$L:$L,0)),"")</f>
        <v/>
      </c>
      <c r="AL12" s="419" t="str">
        <f t="shared" si="8"/>
        <v/>
      </c>
      <c r="AM12" s="418" t="str">
        <f>IFERROR(INDEX(V!$R:$R,MATCH(AN12,V!$L:$L,0)),"")</f>
        <v/>
      </c>
      <c r="AN12" s="419" t="str">
        <f t="shared" si="9"/>
        <v/>
      </c>
      <c r="AO12" s="418" t="str">
        <f>IFERROR(INDEX(V!$R:$R,MATCH(AP12,V!$L:$L,0)),"")</f>
        <v/>
      </c>
      <c r="AP12" s="419" t="str">
        <f t="shared" si="10"/>
        <v/>
      </c>
    </row>
    <row r="13" spans="1:42" x14ac:dyDescent="0.2">
      <c r="A13" s="408">
        <v>7</v>
      </c>
      <c r="B13" s="422" t="s">
        <v>324</v>
      </c>
      <c r="C13" s="410">
        <v>13</v>
      </c>
      <c r="D13" s="411" t="s">
        <v>313</v>
      </c>
      <c r="E13" s="411">
        <v>1</v>
      </c>
      <c r="F13" s="412" t="s">
        <v>405</v>
      </c>
      <c r="G13" s="410">
        <v>10</v>
      </c>
      <c r="H13" s="411" t="s">
        <v>313</v>
      </c>
      <c r="I13" s="411">
        <v>12</v>
      </c>
      <c r="J13" s="412" t="s">
        <v>388</v>
      </c>
      <c r="K13" s="410">
        <v>4</v>
      </c>
      <c r="L13" s="411" t="s">
        <v>313</v>
      </c>
      <c r="M13" s="411">
        <v>13</v>
      </c>
      <c r="N13" s="412" t="s">
        <v>403</v>
      </c>
      <c r="O13" s="410">
        <v>13</v>
      </c>
      <c r="P13" s="411" t="s">
        <v>313</v>
      </c>
      <c r="Q13" s="411">
        <v>10</v>
      </c>
      <c r="R13" s="412" t="s">
        <v>394</v>
      </c>
      <c r="S13" s="410"/>
      <c r="T13" s="411"/>
      <c r="U13" s="411"/>
      <c r="V13" s="412"/>
      <c r="W13" s="413">
        <f t="shared" si="0"/>
        <v>2</v>
      </c>
      <c r="X13" s="414">
        <v>18</v>
      </c>
      <c r="Y13" s="414">
        <v>64</v>
      </c>
      <c r="Z13" s="410">
        <f t="shared" si="1"/>
        <v>40</v>
      </c>
      <c r="AA13" s="411" t="s">
        <v>313</v>
      </c>
      <c r="AB13" s="415">
        <f t="shared" si="2"/>
        <v>36</v>
      </c>
      <c r="AC13" s="416">
        <f t="shared" si="3"/>
        <v>4</v>
      </c>
      <c r="AD13" s="417">
        <f t="shared" si="11"/>
        <v>332</v>
      </c>
      <c r="AE13" s="418">
        <f>IFERROR(INDEX(V!$R:$R,MATCH(AF13,V!$L:$L,0)),"")</f>
        <v>166</v>
      </c>
      <c r="AF13" s="419" t="str">
        <f t="shared" si="5"/>
        <v>Oleg Rõndenkov</v>
      </c>
      <c r="AG13" s="418">
        <f>IFERROR(INDEX(V!$R:$R,MATCH(AH13,V!$L:$L,0)),"")</f>
        <v>166</v>
      </c>
      <c r="AH13" s="419" t="str">
        <f t="shared" si="6"/>
        <v>Sander Rose</v>
      </c>
      <c r="AI13" s="418" t="str">
        <f>IFERROR(INDEX(V!$R:$R,MATCH(AJ13,V!$L:$L,0)),"")</f>
        <v/>
      </c>
      <c r="AJ13" s="419" t="str">
        <f t="shared" si="7"/>
        <v/>
      </c>
      <c r="AK13" s="418" t="str">
        <f>IFERROR(INDEX(V!$R:$R,MATCH(AL13,V!$L:$L,0)),"")</f>
        <v/>
      </c>
      <c r="AL13" s="419" t="str">
        <f t="shared" si="8"/>
        <v/>
      </c>
      <c r="AM13" s="418" t="str">
        <f>IFERROR(INDEX(V!$R:$R,MATCH(AN13,V!$L:$L,0)),"")</f>
        <v/>
      </c>
      <c r="AN13" s="419" t="str">
        <f t="shared" si="9"/>
        <v/>
      </c>
      <c r="AO13" s="418" t="str">
        <f>IFERROR(INDEX(V!$R:$R,MATCH(AP13,V!$L:$L,0)),"")</f>
        <v/>
      </c>
      <c r="AP13" s="419" t="str">
        <f t="shared" si="10"/>
        <v/>
      </c>
    </row>
    <row r="14" spans="1:42" x14ac:dyDescent="0.2">
      <c r="A14" s="408">
        <v>8</v>
      </c>
      <c r="B14" s="422" t="s">
        <v>403</v>
      </c>
      <c r="C14" s="410">
        <v>9</v>
      </c>
      <c r="D14" s="411" t="s">
        <v>313</v>
      </c>
      <c r="E14" s="411">
        <v>5</v>
      </c>
      <c r="F14" s="412" t="s">
        <v>406</v>
      </c>
      <c r="G14" s="410">
        <v>6</v>
      </c>
      <c r="H14" s="411" t="s">
        <v>313</v>
      </c>
      <c r="I14" s="411">
        <v>13</v>
      </c>
      <c r="J14" s="412" t="s">
        <v>399</v>
      </c>
      <c r="K14" s="410">
        <v>13</v>
      </c>
      <c r="L14" s="411" t="s">
        <v>313</v>
      </c>
      <c r="M14" s="411">
        <v>4</v>
      </c>
      <c r="N14" s="412" t="s">
        <v>324</v>
      </c>
      <c r="O14" s="410">
        <v>4</v>
      </c>
      <c r="P14" s="411" t="s">
        <v>313</v>
      </c>
      <c r="Q14" s="411">
        <v>13</v>
      </c>
      <c r="R14" s="412" t="s">
        <v>319</v>
      </c>
      <c r="S14" s="410"/>
      <c r="T14" s="411"/>
      <c r="U14" s="411"/>
      <c r="V14" s="412"/>
      <c r="W14" s="413">
        <f t="shared" si="0"/>
        <v>2</v>
      </c>
      <c r="X14" s="414">
        <v>16</v>
      </c>
      <c r="Y14" s="414">
        <v>74</v>
      </c>
      <c r="Z14" s="410">
        <f t="shared" si="1"/>
        <v>32</v>
      </c>
      <c r="AA14" s="411" t="s">
        <v>313</v>
      </c>
      <c r="AB14" s="415">
        <f t="shared" si="2"/>
        <v>35</v>
      </c>
      <c r="AC14" s="416">
        <f t="shared" si="3"/>
        <v>-3</v>
      </c>
      <c r="AD14" s="417">
        <f t="shared" ref="AD14:AD15" si="12">SUM(AE14:AL14)</f>
        <v>196</v>
      </c>
      <c r="AE14" s="418">
        <f>IFERROR(INDEX(V!$R:$R,MATCH(AF14,V!$L:$L,0)),"")</f>
        <v>142</v>
      </c>
      <c r="AF14" s="419" t="str">
        <f t="shared" si="5"/>
        <v>Olav Türk</v>
      </c>
      <c r="AG14" s="418">
        <f>IFERROR(INDEX(V!$R:$R,MATCH(AH14,V!$L:$L,0)),"")</f>
        <v>54</v>
      </c>
      <c r="AH14" s="419" t="str">
        <f t="shared" si="6"/>
        <v>Sirje Maala</v>
      </c>
      <c r="AI14" s="418" t="str">
        <f>IFERROR(INDEX(V!$R:$R,MATCH(AJ14,V!$L:$L,0)),"")</f>
        <v/>
      </c>
      <c r="AJ14" s="419" t="str">
        <f t="shared" si="7"/>
        <v/>
      </c>
      <c r="AK14" s="418" t="str">
        <f>IFERROR(INDEX(V!$R:$R,MATCH(AL14,V!$L:$L,0)),"")</f>
        <v/>
      </c>
      <c r="AL14" s="419" t="str">
        <f t="shared" si="8"/>
        <v/>
      </c>
      <c r="AM14" s="418" t="str">
        <f>IFERROR(INDEX(V!$R:$R,MATCH(AN14,V!$L:$L,0)),"")</f>
        <v/>
      </c>
      <c r="AN14" s="419" t="str">
        <f t="shared" si="9"/>
        <v/>
      </c>
      <c r="AO14" s="418" t="str">
        <f>IFERROR(INDEX(V!$R:$R,MATCH(AP14,V!$L:$L,0)),"")</f>
        <v/>
      </c>
      <c r="AP14" s="419" t="str">
        <f t="shared" si="10"/>
        <v/>
      </c>
    </row>
    <row r="15" spans="1:42" x14ac:dyDescent="0.2">
      <c r="A15" s="408">
        <v>9</v>
      </c>
      <c r="B15" s="421" t="s">
        <v>322</v>
      </c>
      <c r="C15" s="410">
        <v>13</v>
      </c>
      <c r="D15" s="411" t="s">
        <v>313</v>
      </c>
      <c r="E15" s="411">
        <v>7</v>
      </c>
      <c r="F15" s="412" t="s">
        <v>315</v>
      </c>
      <c r="G15" s="410">
        <v>5</v>
      </c>
      <c r="H15" s="411" t="s">
        <v>313</v>
      </c>
      <c r="I15" s="411">
        <v>13</v>
      </c>
      <c r="J15" s="412" t="s">
        <v>319</v>
      </c>
      <c r="K15" s="410">
        <v>7</v>
      </c>
      <c r="L15" s="411" t="s">
        <v>313</v>
      </c>
      <c r="M15" s="411">
        <v>13</v>
      </c>
      <c r="N15" s="412" t="s">
        <v>401</v>
      </c>
      <c r="O15" s="410">
        <v>11</v>
      </c>
      <c r="P15" s="411" t="s">
        <v>313</v>
      </c>
      <c r="Q15" s="411">
        <v>9</v>
      </c>
      <c r="R15" s="412" t="s">
        <v>406</v>
      </c>
      <c r="S15" s="410"/>
      <c r="T15" s="411"/>
      <c r="U15" s="411"/>
      <c r="V15" s="412"/>
      <c r="W15" s="413">
        <f t="shared" si="0"/>
        <v>2</v>
      </c>
      <c r="X15" s="414">
        <v>14</v>
      </c>
      <c r="Y15" s="414">
        <v>48</v>
      </c>
      <c r="Z15" s="410">
        <f t="shared" si="1"/>
        <v>36</v>
      </c>
      <c r="AA15" s="411" t="s">
        <v>313</v>
      </c>
      <c r="AB15" s="415">
        <f t="shared" si="2"/>
        <v>42</v>
      </c>
      <c r="AC15" s="416">
        <f t="shared" si="3"/>
        <v>-6</v>
      </c>
      <c r="AD15" s="417">
        <f t="shared" si="12"/>
        <v>302</v>
      </c>
      <c r="AE15" s="418">
        <f>IFERROR(INDEX(V!$R:$R,MATCH(AF15,V!$L:$L,0)),"")</f>
        <v>152</v>
      </c>
      <c r="AF15" s="419" t="str">
        <f t="shared" si="5"/>
        <v>Andrei Grintšak</v>
      </c>
      <c r="AG15" s="418">
        <f>IFERROR(INDEX(V!$R:$R,MATCH(AH15,V!$L:$L,0)),"")</f>
        <v>150</v>
      </c>
      <c r="AH15" s="419" t="str">
        <f t="shared" si="6"/>
        <v>Enn Tokman</v>
      </c>
      <c r="AI15" s="418" t="str">
        <f>IFERROR(INDEX(V!$R:$R,MATCH(AJ15,V!$L:$L,0)),"")</f>
        <v/>
      </c>
      <c r="AJ15" s="419" t="str">
        <f t="shared" si="7"/>
        <v/>
      </c>
      <c r="AK15" s="418" t="str">
        <f>IFERROR(INDEX(V!$R:$R,MATCH(AL15,V!$L:$L,0)),"")</f>
        <v/>
      </c>
      <c r="AL15" s="419" t="str">
        <f t="shared" si="8"/>
        <v/>
      </c>
      <c r="AM15" s="418" t="str">
        <f>IFERROR(INDEX(V!$R:$R,MATCH(AN15,V!$L:$L,0)),"")</f>
        <v/>
      </c>
      <c r="AN15" s="419" t="str">
        <f t="shared" si="9"/>
        <v/>
      </c>
      <c r="AO15" s="418" t="str">
        <f>IFERROR(INDEX(V!$R:$R,MATCH(AP15,V!$L:$L,0)),"")</f>
        <v/>
      </c>
      <c r="AP15" s="419" t="str">
        <f t="shared" si="10"/>
        <v/>
      </c>
    </row>
    <row r="16" spans="1:42" x14ac:dyDescent="0.2">
      <c r="A16" s="408">
        <v>10</v>
      </c>
      <c r="B16" s="422" t="s">
        <v>400</v>
      </c>
      <c r="C16" s="410">
        <v>7</v>
      </c>
      <c r="D16" s="411" t="s">
        <v>313</v>
      </c>
      <c r="E16" s="411">
        <v>13</v>
      </c>
      <c r="F16" s="412" t="s">
        <v>323</v>
      </c>
      <c r="G16" s="410">
        <v>8</v>
      </c>
      <c r="H16" s="411" t="s">
        <v>313</v>
      </c>
      <c r="I16" s="411">
        <v>11</v>
      </c>
      <c r="J16" s="412" t="s">
        <v>406</v>
      </c>
      <c r="K16" s="410">
        <v>13</v>
      </c>
      <c r="L16" s="411" t="s">
        <v>313</v>
      </c>
      <c r="M16" s="411">
        <v>5</v>
      </c>
      <c r="N16" s="412" t="s">
        <v>395</v>
      </c>
      <c r="O16" s="410">
        <v>13</v>
      </c>
      <c r="P16" s="411" t="s">
        <v>313</v>
      </c>
      <c r="Q16" s="411">
        <v>4</v>
      </c>
      <c r="R16" s="412" t="s">
        <v>402</v>
      </c>
      <c r="S16" s="410"/>
      <c r="T16" s="411"/>
      <c r="U16" s="411"/>
      <c r="V16" s="412"/>
      <c r="W16" s="413">
        <f t="shared" si="0"/>
        <v>2</v>
      </c>
      <c r="X16" s="414">
        <v>12</v>
      </c>
      <c r="Y16" s="414">
        <v>68</v>
      </c>
      <c r="Z16" s="410">
        <f t="shared" si="1"/>
        <v>41</v>
      </c>
      <c r="AA16" s="411" t="s">
        <v>313</v>
      </c>
      <c r="AB16" s="415">
        <f t="shared" si="2"/>
        <v>33</v>
      </c>
      <c r="AC16" s="416">
        <f t="shared" si="3"/>
        <v>8</v>
      </c>
      <c r="AD16" s="417">
        <f t="shared" ref="AD16:AD19" si="13">SUM(AE16:AL16)</f>
        <v>222</v>
      </c>
      <c r="AE16" s="418">
        <f>IFERROR(INDEX(V!$R:$R,MATCH(AF16,V!$L:$L,0)),"")</f>
        <v>116</v>
      </c>
      <c r="AF16" s="419" t="str">
        <f t="shared" si="5"/>
        <v>Jaan Saar</v>
      </c>
      <c r="AG16" s="418">
        <f>IFERROR(INDEX(V!$R:$R,MATCH(AH16,V!$L:$L,0)),"")</f>
        <v>106</v>
      </c>
      <c r="AH16" s="419" t="str">
        <f t="shared" si="6"/>
        <v>Viktoria Mets</v>
      </c>
      <c r="AI16" s="418" t="str">
        <f>IFERROR(INDEX(V!$R:$R,MATCH(AJ16,V!$L:$L,0)),"")</f>
        <v/>
      </c>
      <c r="AJ16" s="419" t="str">
        <f t="shared" si="7"/>
        <v/>
      </c>
      <c r="AK16" s="418" t="str">
        <f>IFERROR(INDEX(V!$R:$R,MATCH(AL16,V!$L:$L,0)),"")</f>
        <v/>
      </c>
      <c r="AL16" s="419" t="str">
        <f t="shared" si="8"/>
        <v/>
      </c>
      <c r="AM16" s="418" t="str">
        <f>IFERROR(INDEX(V!$R:$R,MATCH(AN16,V!$L:$L,0)),"")</f>
        <v/>
      </c>
      <c r="AN16" s="419" t="str">
        <f t="shared" si="9"/>
        <v/>
      </c>
      <c r="AO16" s="418" t="str">
        <f>IFERROR(INDEX(V!$R:$R,MATCH(AP16,V!$L:$L,0)),"")</f>
        <v/>
      </c>
      <c r="AP16" s="419" t="str">
        <f t="shared" si="10"/>
        <v/>
      </c>
    </row>
    <row r="17" spans="1:42" x14ac:dyDescent="0.2">
      <c r="A17" s="408">
        <v>11</v>
      </c>
      <c r="B17" s="421" t="s">
        <v>405</v>
      </c>
      <c r="C17" s="410">
        <v>1</v>
      </c>
      <c r="D17" s="411" t="s">
        <v>313</v>
      </c>
      <c r="E17" s="411">
        <v>13</v>
      </c>
      <c r="F17" s="412" t="s">
        <v>324</v>
      </c>
      <c r="G17" s="410">
        <v>13</v>
      </c>
      <c r="H17" s="411" t="s">
        <v>313</v>
      </c>
      <c r="I17" s="411">
        <v>7</v>
      </c>
      <c r="J17" s="412" t="s">
        <v>315</v>
      </c>
      <c r="K17" s="410">
        <v>13</v>
      </c>
      <c r="L17" s="411" t="s">
        <v>313</v>
      </c>
      <c r="M17" s="411">
        <v>11</v>
      </c>
      <c r="N17" s="412" t="s">
        <v>406</v>
      </c>
      <c r="O17" s="410">
        <v>5</v>
      </c>
      <c r="P17" s="411" t="s">
        <v>313</v>
      </c>
      <c r="Q17" s="411">
        <v>13</v>
      </c>
      <c r="R17" s="412" t="s">
        <v>404</v>
      </c>
      <c r="S17" s="410"/>
      <c r="T17" s="411"/>
      <c r="U17" s="411"/>
      <c r="V17" s="412"/>
      <c r="W17" s="413">
        <f t="shared" si="0"/>
        <v>2</v>
      </c>
      <c r="X17" s="414">
        <v>12</v>
      </c>
      <c r="Y17" s="414">
        <v>46</v>
      </c>
      <c r="Z17" s="410">
        <f t="shared" si="1"/>
        <v>32</v>
      </c>
      <c r="AA17" s="411" t="s">
        <v>313</v>
      </c>
      <c r="AB17" s="415">
        <f t="shared" si="2"/>
        <v>44</v>
      </c>
      <c r="AC17" s="416">
        <f t="shared" si="3"/>
        <v>-12</v>
      </c>
      <c r="AD17" s="417">
        <f t="shared" si="13"/>
        <v>114</v>
      </c>
      <c r="AE17" s="418">
        <f>IFERROR(INDEX(V!$R:$R,MATCH(AF17,V!$L:$L,0)),"")</f>
        <v>94</v>
      </c>
      <c r="AF17" s="419" t="str">
        <f t="shared" si="5"/>
        <v>Johannes Neiland</v>
      </c>
      <c r="AG17" s="418">
        <f>IFERROR(INDEX(V!$R:$R,MATCH(AH17,V!$L:$L,0)),"")</f>
        <v>20</v>
      </c>
      <c r="AH17" s="419" t="str">
        <f t="shared" si="6"/>
        <v>Vlad Arzantsev</v>
      </c>
      <c r="AI17" s="418" t="str">
        <f>IFERROR(INDEX(V!$R:$R,MATCH(AJ17,V!$L:$L,0)),"")</f>
        <v/>
      </c>
      <c r="AJ17" s="419" t="str">
        <f t="shared" si="7"/>
        <v/>
      </c>
      <c r="AK17" s="418" t="str">
        <f>IFERROR(INDEX(V!$R:$R,MATCH(AL17,V!$L:$L,0)),"")</f>
        <v/>
      </c>
      <c r="AL17" s="419" t="str">
        <f t="shared" si="8"/>
        <v/>
      </c>
      <c r="AM17" s="418" t="str">
        <f>IFERROR(INDEX(V!$R:$R,MATCH(AN17,V!$L:$L,0)),"")</f>
        <v/>
      </c>
      <c r="AN17" s="419" t="str">
        <f t="shared" si="9"/>
        <v/>
      </c>
      <c r="AO17" s="418" t="str">
        <f>IFERROR(INDEX(V!$R:$R,MATCH(AP17,V!$L:$L,0)),"")</f>
        <v/>
      </c>
      <c r="AP17" s="419" t="str">
        <f t="shared" si="10"/>
        <v/>
      </c>
    </row>
    <row r="18" spans="1:42" x14ac:dyDescent="0.2">
      <c r="A18" s="408">
        <v>12</v>
      </c>
      <c r="B18" s="422" t="s">
        <v>394</v>
      </c>
      <c r="C18" s="410">
        <v>2</v>
      </c>
      <c r="D18" s="411" t="s">
        <v>313</v>
      </c>
      <c r="E18" s="411">
        <v>13</v>
      </c>
      <c r="F18" s="412" t="s">
        <v>388</v>
      </c>
      <c r="G18" s="410">
        <v>13</v>
      </c>
      <c r="H18" s="411" t="s">
        <v>313</v>
      </c>
      <c r="I18" s="411">
        <v>1</v>
      </c>
      <c r="J18" s="412" t="s">
        <v>402</v>
      </c>
      <c r="K18" s="410">
        <v>2</v>
      </c>
      <c r="L18" s="411" t="s">
        <v>313</v>
      </c>
      <c r="M18" s="411">
        <v>13</v>
      </c>
      <c r="N18" s="412" t="s">
        <v>404</v>
      </c>
      <c r="O18" s="410">
        <v>10</v>
      </c>
      <c r="P18" s="411" t="s">
        <v>313</v>
      </c>
      <c r="Q18" s="411">
        <v>13</v>
      </c>
      <c r="R18" s="412" t="s">
        <v>324</v>
      </c>
      <c r="S18" s="410"/>
      <c r="T18" s="411"/>
      <c r="U18" s="411"/>
      <c r="V18" s="412"/>
      <c r="W18" s="413">
        <f t="shared" si="0"/>
        <v>1</v>
      </c>
      <c r="X18" s="414">
        <v>20</v>
      </c>
      <c r="Y18" s="414">
        <v>58</v>
      </c>
      <c r="Z18" s="410">
        <f t="shared" si="1"/>
        <v>27</v>
      </c>
      <c r="AA18" s="411" t="s">
        <v>313</v>
      </c>
      <c r="AB18" s="415">
        <f t="shared" si="2"/>
        <v>40</v>
      </c>
      <c r="AC18" s="416">
        <f t="shared" si="3"/>
        <v>-13</v>
      </c>
      <c r="AD18" s="417">
        <f t="shared" si="13"/>
        <v>176</v>
      </c>
      <c r="AE18" s="418">
        <f>IFERROR(INDEX(V!$R:$R,MATCH(AF18,V!$L:$L,0)),"")</f>
        <v>62</v>
      </c>
      <c r="AF18" s="419" t="str">
        <f t="shared" si="5"/>
        <v>Boriss Klubov</v>
      </c>
      <c r="AG18" s="418">
        <f>IFERROR(INDEX(V!$R:$R,MATCH(AH18,V!$L:$L,0)),"")</f>
        <v>114</v>
      </c>
      <c r="AH18" s="419" t="str">
        <f t="shared" si="6"/>
        <v>Elmo Lageda</v>
      </c>
      <c r="AI18" s="418" t="str">
        <f>IFERROR(INDEX(V!$R:$R,MATCH(AJ18,V!$L:$L,0)),"")</f>
        <v/>
      </c>
      <c r="AJ18" s="419" t="str">
        <f t="shared" si="7"/>
        <v/>
      </c>
      <c r="AK18" s="418" t="str">
        <f>IFERROR(INDEX(V!$R:$R,MATCH(AL18,V!$L:$L,0)),"")</f>
        <v/>
      </c>
      <c r="AL18" s="419" t="str">
        <f t="shared" si="8"/>
        <v/>
      </c>
      <c r="AM18" s="418" t="str">
        <f>IFERROR(INDEX(V!$R:$R,MATCH(AN18,V!$L:$L,0)),"")</f>
        <v/>
      </c>
      <c r="AN18" s="419" t="str">
        <f t="shared" si="9"/>
        <v/>
      </c>
      <c r="AO18" s="418" t="str">
        <f>IFERROR(INDEX(V!$R:$R,MATCH(AP18,V!$L:$L,0)),"")</f>
        <v/>
      </c>
      <c r="AP18" s="419" t="str">
        <f t="shared" si="10"/>
        <v/>
      </c>
    </row>
    <row r="19" spans="1:42" x14ac:dyDescent="0.2">
      <c r="A19" s="408">
        <v>13</v>
      </c>
      <c r="B19" s="421" t="s">
        <v>406</v>
      </c>
      <c r="C19" s="410">
        <v>5</v>
      </c>
      <c r="D19" s="411" t="s">
        <v>313</v>
      </c>
      <c r="E19" s="411">
        <v>9</v>
      </c>
      <c r="F19" s="412" t="s">
        <v>403</v>
      </c>
      <c r="G19" s="410">
        <v>11</v>
      </c>
      <c r="H19" s="411" t="s">
        <v>313</v>
      </c>
      <c r="I19" s="411">
        <v>8</v>
      </c>
      <c r="J19" s="412" t="s">
        <v>400</v>
      </c>
      <c r="K19" s="410">
        <v>11</v>
      </c>
      <c r="L19" s="411" t="s">
        <v>313</v>
      </c>
      <c r="M19" s="411">
        <v>13</v>
      </c>
      <c r="N19" s="412" t="s">
        <v>405</v>
      </c>
      <c r="O19" s="410">
        <v>9</v>
      </c>
      <c r="P19" s="411" t="s">
        <v>313</v>
      </c>
      <c r="Q19" s="411">
        <v>11</v>
      </c>
      <c r="R19" s="412" t="s">
        <v>322</v>
      </c>
      <c r="S19" s="410"/>
      <c r="T19" s="411"/>
      <c r="U19" s="411"/>
      <c r="V19" s="412"/>
      <c r="W19" s="413">
        <f t="shared" si="0"/>
        <v>1</v>
      </c>
      <c r="X19" s="414">
        <v>16</v>
      </c>
      <c r="Y19" s="414">
        <v>54</v>
      </c>
      <c r="Z19" s="410">
        <f t="shared" si="1"/>
        <v>36</v>
      </c>
      <c r="AA19" s="411" t="s">
        <v>313</v>
      </c>
      <c r="AB19" s="415">
        <f t="shared" si="2"/>
        <v>41</v>
      </c>
      <c r="AC19" s="416">
        <f t="shared" si="3"/>
        <v>-5</v>
      </c>
      <c r="AD19" s="417">
        <f t="shared" si="13"/>
        <v>234</v>
      </c>
      <c r="AE19" s="418">
        <f>IFERROR(INDEX(V!$R:$R,MATCH(AF19,V!$L:$L,0)),"")</f>
        <v>132</v>
      </c>
      <c r="AF19" s="419" t="str">
        <f t="shared" si="5"/>
        <v>Andres Veski</v>
      </c>
      <c r="AG19" s="418">
        <f>IFERROR(INDEX(V!$R:$R,MATCH(AH19,V!$L:$L,0)),"")</f>
        <v>102</v>
      </c>
      <c r="AH19" s="419" t="str">
        <f t="shared" si="6"/>
        <v>Svetlana Veski</v>
      </c>
      <c r="AI19" s="418" t="str">
        <f>IFERROR(INDEX(V!$R:$R,MATCH(AJ19,V!$L:$L,0)),"")</f>
        <v/>
      </c>
      <c r="AJ19" s="419" t="str">
        <f t="shared" si="7"/>
        <v/>
      </c>
      <c r="AK19" s="418" t="str">
        <f>IFERROR(INDEX(V!$R:$R,MATCH(AL19,V!$L:$L,0)),"")</f>
        <v/>
      </c>
      <c r="AL19" s="419" t="str">
        <f t="shared" si="8"/>
        <v/>
      </c>
      <c r="AM19" s="418" t="str">
        <f>IFERROR(INDEX(V!$R:$R,MATCH(AN19,V!$L:$L,0)),"")</f>
        <v/>
      </c>
      <c r="AN19" s="419" t="str">
        <f t="shared" si="9"/>
        <v/>
      </c>
      <c r="AO19" s="418" t="str">
        <f>IFERROR(INDEX(V!$R:$R,MATCH(AP19,V!$L:$L,0)),"")</f>
        <v/>
      </c>
      <c r="AP19" s="419" t="str">
        <f t="shared" si="10"/>
        <v/>
      </c>
    </row>
    <row r="20" spans="1:42" x14ac:dyDescent="0.2">
      <c r="A20" s="408">
        <v>14</v>
      </c>
      <c r="B20" s="422" t="s">
        <v>395</v>
      </c>
      <c r="C20" s="410">
        <v>9</v>
      </c>
      <c r="D20" s="411" t="s">
        <v>313</v>
      </c>
      <c r="E20" s="411">
        <v>10</v>
      </c>
      <c r="F20" s="412" t="s">
        <v>319</v>
      </c>
      <c r="G20" s="410">
        <v>1</v>
      </c>
      <c r="H20" s="411" t="s">
        <v>313</v>
      </c>
      <c r="I20" s="411">
        <v>13</v>
      </c>
      <c r="J20" s="412" t="s">
        <v>404</v>
      </c>
      <c r="K20" s="410">
        <v>5</v>
      </c>
      <c r="L20" s="411" t="s">
        <v>313</v>
      </c>
      <c r="M20" s="411">
        <v>13</v>
      </c>
      <c r="N20" s="412" t="s">
        <v>400</v>
      </c>
      <c r="O20" s="410">
        <v>13</v>
      </c>
      <c r="P20" s="411" t="s">
        <v>313</v>
      </c>
      <c r="Q20" s="411">
        <v>7</v>
      </c>
      <c r="R20" s="412" t="s">
        <v>315</v>
      </c>
      <c r="S20" s="410"/>
      <c r="T20" s="411"/>
      <c r="U20" s="411"/>
      <c r="V20" s="412"/>
      <c r="W20" s="413">
        <f t="shared" ref="W20:W21" si="14">IF(C20&gt;E20,W$2,IF(C20&lt;E20,W$4,IF(ISNUMBER(C20),W$3,0)))+IF(G20&gt;I20,W$2,IF(G20&lt;I20,W$4,IF(ISNUMBER(G20),W$3,0)))+IF(K20&gt;M20,W$2,IF(K20&lt;M20,W$4,IF(ISNUMBER(K20),W$3,0)))+IF(O20&gt;Q20,W$2,IF(O20&lt;Q20,W$4,IF(ISNUMBER(O20),W$3,0)))+IF(S20&gt;U20,W$2,IF(S20&lt;U20,W$4,IF(ISNUMBER(S20),W$3,0)))</f>
        <v>1</v>
      </c>
      <c r="X20" s="414">
        <v>16</v>
      </c>
      <c r="Y20" s="414">
        <v>40</v>
      </c>
      <c r="Z20" s="410">
        <f t="shared" ref="Z20:Z21" si="15">C20+G20+K20+O20+S20</f>
        <v>28</v>
      </c>
      <c r="AA20" s="411" t="s">
        <v>313</v>
      </c>
      <c r="AB20" s="415">
        <f t="shared" ref="AB20:AB21" si="16">E20+I20+M20+Q20+U20</f>
        <v>43</v>
      </c>
      <c r="AC20" s="416">
        <f t="shared" ref="AC20:AC21" si="17">Z20-AB20</f>
        <v>-15</v>
      </c>
      <c r="AD20" s="417">
        <f t="shared" ref="AD20:AD21" si="18">SUM(AE20:AL20)</f>
        <v>60</v>
      </c>
      <c r="AE20" s="418">
        <f>IFERROR(INDEX(V!$R:$R,MATCH(AF20,V!$L:$L,0)),"")</f>
        <v>22</v>
      </c>
      <c r="AF20" s="419" t="str">
        <f t="shared" si="5"/>
        <v>Lemmit Toomra</v>
      </c>
      <c r="AG20" s="418">
        <f>IFERROR(INDEX(V!$R:$R,MATCH(AH20,V!$L:$L,0)),"")</f>
        <v>38</v>
      </c>
      <c r="AH20" s="419" t="str">
        <f t="shared" si="6"/>
        <v>Tõnu Kapper</v>
      </c>
      <c r="AI20" s="418" t="str">
        <f>IFERROR(INDEX(V!$R:$R,MATCH(AJ20,V!$L:$L,0)),"")</f>
        <v/>
      </c>
      <c r="AJ20" s="419" t="str">
        <f t="shared" si="7"/>
        <v/>
      </c>
      <c r="AK20" s="418" t="str">
        <f>IFERROR(INDEX(V!$R:$R,MATCH(AL20,V!$L:$L,0)),"")</f>
        <v/>
      </c>
      <c r="AL20" s="419" t="str">
        <f t="shared" si="8"/>
        <v/>
      </c>
      <c r="AM20" s="418" t="str">
        <f>IFERROR(INDEX(V!$R:$R,MATCH(AN20,V!$L:$L,0)),"")</f>
        <v/>
      </c>
      <c r="AN20" s="419" t="str">
        <f t="shared" si="9"/>
        <v/>
      </c>
      <c r="AO20" s="418" t="str">
        <f>IFERROR(INDEX(V!$R:$R,MATCH(AP20,V!$L:$L,0)),"")</f>
        <v/>
      </c>
      <c r="AP20" s="419" t="str">
        <f t="shared" si="10"/>
        <v/>
      </c>
    </row>
    <row r="21" spans="1:42" x14ac:dyDescent="0.2">
      <c r="A21" s="408">
        <v>15</v>
      </c>
      <c r="B21" s="421" t="s">
        <v>402</v>
      </c>
      <c r="C21" s="410">
        <v>3</v>
      </c>
      <c r="D21" s="411" t="s">
        <v>313</v>
      </c>
      <c r="E21" s="411">
        <v>13</v>
      </c>
      <c r="F21" s="412" t="s">
        <v>401</v>
      </c>
      <c r="G21" s="410">
        <v>1</v>
      </c>
      <c r="H21" s="411" t="s">
        <v>313</v>
      </c>
      <c r="I21" s="411">
        <v>13</v>
      </c>
      <c r="J21" s="412" t="s">
        <v>394</v>
      </c>
      <c r="K21" s="410">
        <v>13</v>
      </c>
      <c r="L21" s="411" t="s">
        <v>313</v>
      </c>
      <c r="M21" s="411">
        <v>7</v>
      </c>
      <c r="N21" s="412" t="s">
        <v>315</v>
      </c>
      <c r="O21" s="410">
        <v>4</v>
      </c>
      <c r="P21" s="411" t="s">
        <v>313</v>
      </c>
      <c r="Q21" s="411">
        <v>13</v>
      </c>
      <c r="R21" s="412" t="s">
        <v>400</v>
      </c>
      <c r="S21" s="410"/>
      <c r="T21" s="411"/>
      <c r="U21" s="411"/>
      <c r="V21" s="412"/>
      <c r="W21" s="413">
        <f t="shared" si="14"/>
        <v>1</v>
      </c>
      <c r="X21" s="414">
        <v>12</v>
      </c>
      <c r="Y21" s="414">
        <v>48</v>
      </c>
      <c r="Z21" s="410">
        <f t="shared" si="15"/>
        <v>21</v>
      </c>
      <c r="AA21" s="411" t="s">
        <v>313</v>
      </c>
      <c r="AB21" s="415">
        <f t="shared" si="16"/>
        <v>46</v>
      </c>
      <c r="AC21" s="416">
        <f t="shared" si="17"/>
        <v>-25</v>
      </c>
      <c r="AD21" s="417">
        <f t="shared" si="18"/>
        <v>174</v>
      </c>
      <c r="AE21" s="418">
        <f>IFERROR(INDEX(V!$R:$R,MATCH(AF21,V!$L:$L,0)),"")</f>
        <v>46</v>
      </c>
      <c r="AF21" s="419" t="str">
        <f t="shared" si="5"/>
        <v>Meelis Luud</v>
      </c>
      <c r="AG21" s="418">
        <f>IFERROR(INDEX(V!$R:$R,MATCH(AH21,V!$L:$L,0)),"")</f>
        <v>128</v>
      </c>
      <c r="AH21" s="419" t="str">
        <f t="shared" si="6"/>
        <v>Urmas Randlaine</v>
      </c>
      <c r="AI21" s="418" t="str">
        <f>IFERROR(INDEX(V!$R:$R,MATCH(AJ21,V!$L:$L,0)),"")</f>
        <v/>
      </c>
      <c r="AJ21" s="419" t="str">
        <f t="shared" si="7"/>
        <v/>
      </c>
      <c r="AK21" s="418" t="str">
        <f>IFERROR(INDEX(V!$R:$R,MATCH(AL21,V!$L:$L,0)),"")</f>
        <v/>
      </c>
      <c r="AL21" s="419" t="str">
        <f t="shared" si="8"/>
        <v/>
      </c>
      <c r="AM21" s="418" t="str">
        <f>IFERROR(INDEX(V!$R:$R,MATCH(AN21,V!$L:$L,0)),"")</f>
        <v/>
      </c>
      <c r="AN21" s="419" t="str">
        <f t="shared" si="9"/>
        <v/>
      </c>
      <c r="AO21" s="418" t="str">
        <f>IFERROR(INDEX(V!$R:$R,MATCH(AP21,V!$L:$L,0)),"")</f>
        <v/>
      </c>
      <c r="AP21" s="419" t="str">
        <f t="shared" si="10"/>
        <v/>
      </c>
    </row>
    <row r="24" spans="1:42" hidden="1" x14ac:dyDescent="0.2"/>
    <row r="25" spans="1:42" hidden="1" x14ac:dyDescent="0.2"/>
    <row r="26" spans="1:42" hidden="1" x14ac:dyDescent="0.2"/>
    <row r="27" spans="1:42" hidden="1" x14ac:dyDescent="0.2"/>
    <row r="28" spans="1:42" hidden="1" x14ac:dyDescent="0.2"/>
    <row r="29" spans="1:42" hidden="1" x14ac:dyDescent="0.2"/>
    <row r="30" spans="1:42" hidden="1" x14ac:dyDescent="0.2"/>
    <row r="31" spans="1:42" hidden="1" x14ac:dyDescent="0.2"/>
    <row r="32" spans="1:4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6" hidden="1" x14ac:dyDescent="0.2"/>
    <row r="290" spans="1:6" hidden="1" x14ac:dyDescent="0.2"/>
    <row r="291" spans="1:6" hidden="1" x14ac:dyDescent="0.2"/>
    <row r="292" spans="1:6" hidden="1" x14ac:dyDescent="0.2"/>
    <row r="293" spans="1:6" hidden="1" x14ac:dyDescent="0.2"/>
    <row r="294" spans="1:6" hidden="1" x14ac:dyDescent="0.2"/>
    <row r="295" spans="1:6" hidden="1" x14ac:dyDescent="0.2"/>
    <row r="296" spans="1:6" hidden="1" x14ac:dyDescent="0.2"/>
    <row r="297" spans="1:6" hidden="1" x14ac:dyDescent="0.2"/>
    <row r="298" spans="1:6" hidden="1" x14ac:dyDescent="0.2"/>
    <row r="299" spans="1:6" x14ac:dyDescent="0.2">
      <c r="A299" s="378"/>
      <c r="B299" s="378"/>
      <c r="C299" s="423" t="s">
        <v>316</v>
      </c>
      <c r="F299" s="424"/>
    </row>
    <row r="300" spans="1:6" x14ac:dyDescent="0.2">
      <c r="A300" s="425">
        <v>1</v>
      </c>
      <c r="B300" s="426" t="str">
        <f t="shared" ref="B300:B312" si="19">IFERROR(INDEX(B$1:B$95,MATCH(A300,A$1:A$95,0)),"")</f>
        <v>Kenneth Muusikus, Urmas Jõeäär</v>
      </c>
      <c r="C300" s="427">
        <f>LARGE(A300:A400,1)*2+2-A300*2</f>
        <v>30</v>
      </c>
      <c r="F300" s="424"/>
    </row>
    <row r="301" spans="1:6" x14ac:dyDescent="0.2">
      <c r="A301" s="425">
        <v>2</v>
      </c>
      <c r="B301" s="426" t="str">
        <f t="shared" si="19"/>
        <v>Kristel Tihhonjuk, Vadim Tihhonjuk</v>
      </c>
      <c r="C301" s="427">
        <f t="shared" ref="C301:C312" si="20">LARGE(A301:A401,1)*2+2-A301*2</f>
        <v>28</v>
      </c>
      <c r="F301" s="424"/>
    </row>
    <row r="302" spans="1:6" x14ac:dyDescent="0.2">
      <c r="A302" s="425">
        <v>3</v>
      </c>
      <c r="B302" s="426" t="str">
        <f t="shared" si="19"/>
        <v>Hillar Neiland, Marko Rooden</v>
      </c>
      <c r="C302" s="427">
        <f t="shared" si="20"/>
        <v>26</v>
      </c>
      <c r="F302" s="424"/>
    </row>
    <row r="303" spans="1:6" x14ac:dyDescent="0.2">
      <c r="A303" s="425">
        <v>4</v>
      </c>
      <c r="B303" s="426" t="str">
        <f t="shared" si="19"/>
        <v>Aleksander Korikov, Oksana Rõndenkova</v>
      </c>
      <c r="C303" s="427">
        <f t="shared" si="20"/>
        <v>24</v>
      </c>
      <c r="F303" s="424"/>
    </row>
    <row r="304" spans="1:6" x14ac:dyDescent="0.2">
      <c r="A304" s="425">
        <v>5</v>
      </c>
      <c r="B304" s="426" t="str">
        <f t="shared" si="19"/>
        <v>Kaspar Mänd, Matti Vinni</v>
      </c>
      <c r="C304" s="427">
        <f t="shared" si="20"/>
        <v>22</v>
      </c>
      <c r="F304" s="424"/>
    </row>
    <row r="305" spans="1:6" x14ac:dyDescent="0.2">
      <c r="A305" s="425">
        <v>6</v>
      </c>
      <c r="B305" s="426" t="str">
        <f t="shared" si="19"/>
        <v>Ljudmila Varendi, Viktor Švarõgin</v>
      </c>
      <c r="C305" s="427">
        <f t="shared" si="20"/>
        <v>20</v>
      </c>
      <c r="F305" s="424"/>
    </row>
    <row r="306" spans="1:6" x14ac:dyDescent="0.2">
      <c r="A306" s="425">
        <v>7</v>
      </c>
      <c r="B306" s="426" t="str">
        <f t="shared" si="19"/>
        <v>Oleg Rõndenkov, Sander Rose</v>
      </c>
      <c r="C306" s="427">
        <f t="shared" si="20"/>
        <v>18</v>
      </c>
      <c r="F306" s="424"/>
    </row>
    <row r="307" spans="1:6" x14ac:dyDescent="0.2">
      <c r="A307" s="425">
        <v>8</v>
      </c>
      <c r="B307" s="426" t="str">
        <f t="shared" si="19"/>
        <v>Olav Türk, Sirje Maala</v>
      </c>
      <c r="C307" s="427">
        <f t="shared" si="20"/>
        <v>16</v>
      </c>
      <c r="F307" s="424"/>
    </row>
    <row r="308" spans="1:6" x14ac:dyDescent="0.2">
      <c r="A308" s="425">
        <v>9</v>
      </c>
      <c r="B308" s="426" t="str">
        <f t="shared" si="19"/>
        <v>Andrei Grintšak, Enn Tokman</v>
      </c>
      <c r="C308" s="427">
        <f t="shared" si="20"/>
        <v>14</v>
      </c>
      <c r="F308" s="424"/>
    </row>
    <row r="309" spans="1:6" x14ac:dyDescent="0.2">
      <c r="A309" s="425">
        <v>10</v>
      </c>
      <c r="B309" s="426" t="str">
        <f t="shared" si="19"/>
        <v>Jaan Saar, Viktoria Mets</v>
      </c>
      <c r="C309" s="427">
        <f t="shared" si="20"/>
        <v>12</v>
      </c>
    </row>
    <row r="310" spans="1:6" x14ac:dyDescent="0.2">
      <c r="A310" s="425">
        <v>11</v>
      </c>
      <c r="B310" s="426" t="str">
        <f t="shared" si="19"/>
        <v>Johannes Neiland, Vlad Arzantsev</v>
      </c>
      <c r="C310" s="427">
        <f t="shared" si="20"/>
        <v>10</v>
      </c>
    </row>
    <row r="311" spans="1:6" x14ac:dyDescent="0.2">
      <c r="A311" s="425">
        <v>12</v>
      </c>
      <c r="B311" s="426" t="str">
        <f t="shared" si="19"/>
        <v>Boriss Klubov, Elmo Lageda</v>
      </c>
      <c r="C311" s="427">
        <f t="shared" si="20"/>
        <v>8</v>
      </c>
    </row>
    <row r="312" spans="1:6" x14ac:dyDescent="0.2">
      <c r="A312" s="425">
        <v>13</v>
      </c>
      <c r="B312" s="426" t="str">
        <f t="shared" si="19"/>
        <v>Andres Veski, Svetlana Veski</v>
      </c>
      <c r="C312" s="427">
        <f t="shared" si="20"/>
        <v>6</v>
      </c>
    </row>
    <row r="313" spans="1:6" x14ac:dyDescent="0.2">
      <c r="A313" s="425">
        <v>14</v>
      </c>
      <c r="B313" s="426" t="str">
        <f t="shared" ref="B313:B314" si="21">IFERROR(INDEX(B$1:B$95,MATCH(A313,A$1:A$95,0)),"")</f>
        <v>Lemmit Toomra, Tõnu Kapper</v>
      </c>
      <c r="C313" s="427">
        <f t="shared" ref="C313:C314" si="22">LARGE(A313:A413,1)*2+2-A313*2</f>
        <v>4</v>
      </c>
    </row>
    <row r="314" spans="1:6" x14ac:dyDescent="0.2">
      <c r="A314" s="425">
        <v>15</v>
      </c>
      <c r="B314" s="426" t="str">
        <f t="shared" si="21"/>
        <v>Meelis Luud, Urmas Randlaine</v>
      </c>
      <c r="C314" s="427">
        <f t="shared" si="22"/>
        <v>2</v>
      </c>
    </row>
  </sheetData>
  <conditionalFormatting sqref="AJ7:AJ21 AH7:AH21 AL7:AL21">
    <cfRule type="expression" dxfId="516" priority="36">
      <formula>AND(AG7="",FIND(",",AH7))</formula>
    </cfRule>
    <cfRule type="expression" dxfId="515" priority="38">
      <formula>AND(AG7="",COUNTIF(AH7,"*,*")=0)</formula>
    </cfRule>
  </conditionalFormatting>
  <conditionalFormatting sqref="AF7:AF21">
    <cfRule type="expression" dxfId="514" priority="37">
      <formula>AND(AE7="",COUNTIF(AF7,"*,*")=0)</formula>
    </cfRule>
  </conditionalFormatting>
  <conditionalFormatting sqref="AN7:AN21 AP7:AP21">
    <cfRule type="expression" dxfId="513" priority="34">
      <formula>AND(AM7="",COUNTIF(AN7,"*,*")=0)</formula>
    </cfRule>
    <cfRule type="expression" dxfId="512" priority="35">
      <formula>AND(AM7="",FIND(",",AN7))</formula>
    </cfRule>
  </conditionalFormatting>
  <conditionalFormatting sqref="B300:B314">
    <cfRule type="expression" dxfId="511" priority="39">
      <formula>A300=3</formula>
    </cfRule>
    <cfRule type="expression" dxfId="510" priority="40">
      <formula>A300=2</formula>
    </cfRule>
    <cfRule type="expression" dxfId="509" priority="41">
      <formula>A300=1</formula>
    </cfRule>
    <cfRule type="containsBlanks" dxfId="508" priority="42">
      <formula>LEN(TRIM(B300))=0</formula>
    </cfRule>
    <cfRule type="duplicateValues" dxfId="507" priority="43"/>
  </conditionalFormatting>
  <conditionalFormatting sqref="A7:A21">
    <cfRule type="duplicateValues" dxfId="506" priority="33"/>
  </conditionalFormatting>
  <conditionalFormatting sqref="C7:C21">
    <cfRule type="expression" dxfId="505" priority="15">
      <formula>IF($C7&gt;$E7,TRUE)</formula>
    </cfRule>
  </conditionalFormatting>
  <conditionalFormatting sqref="E7:E21">
    <cfRule type="expression" dxfId="504" priority="16">
      <formula>IF($C7&lt;$E7,TRUE)</formula>
    </cfRule>
  </conditionalFormatting>
  <conditionalFormatting sqref="K7:K21">
    <cfRule type="expression" dxfId="503" priority="23">
      <formula>IF($K7&gt;$M7,TRUE)</formula>
    </cfRule>
  </conditionalFormatting>
  <conditionalFormatting sqref="M7:M21">
    <cfRule type="expression" dxfId="502" priority="24">
      <formula>IF($K7&lt;$M7,TRUE)</formula>
    </cfRule>
  </conditionalFormatting>
  <conditionalFormatting sqref="O7:O21">
    <cfRule type="expression" dxfId="501" priority="27">
      <formula>IF($O7&gt;$Q7,TRUE)</formula>
    </cfRule>
  </conditionalFormatting>
  <conditionalFormatting sqref="Q7:Q21">
    <cfRule type="expression" dxfId="500" priority="28">
      <formula>IF($O7&lt;$Q7,TRUE)</formula>
    </cfRule>
  </conditionalFormatting>
  <conditionalFormatting sqref="S7:S21">
    <cfRule type="expression" dxfId="499" priority="31">
      <formula>IF($S7&gt;$U7,TRUE)</formula>
    </cfRule>
  </conditionalFormatting>
  <conditionalFormatting sqref="U7:U21">
    <cfRule type="expression" dxfId="498" priority="32">
      <formula>IF($S7&lt;$U7,TRUE)</formula>
    </cfRule>
  </conditionalFormatting>
  <conditionalFormatting sqref="G7:G21">
    <cfRule type="expression" dxfId="497" priority="19">
      <formula>IF($G7&gt;$I7,TRUE)</formula>
    </cfRule>
  </conditionalFormatting>
  <conditionalFormatting sqref="I7:I21">
    <cfRule type="expression" dxfId="496" priority="20">
      <formula>IF($G7&lt;$I7,TRUE)</formula>
    </cfRule>
  </conditionalFormatting>
  <conditionalFormatting sqref="F7:F21">
    <cfRule type="containsText" dxfId="495" priority="6" operator="containsText" text="vaba voor">
      <formula>NOT(ISERROR(SEARCH("vaba voor",F7)))</formula>
    </cfRule>
  </conditionalFormatting>
  <conditionalFormatting sqref="N7:N21">
    <cfRule type="containsText" dxfId="494" priority="4" operator="containsText" text="vaba voor">
      <formula>NOT(ISERROR(SEARCH("vaba voor",N7)))</formula>
    </cfRule>
  </conditionalFormatting>
  <conditionalFormatting sqref="R7:R21">
    <cfRule type="containsText" dxfId="493" priority="7" operator="containsText" text="vaba voor">
      <formula>NOT(ISERROR(SEARCH("vaba voor",R7)))</formula>
    </cfRule>
  </conditionalFormatting>
  <conditionalFormatting sqref="V7:V21">
    <cfRule type="containsText" dxfId="492" priority="3" operator="containsText" text="vaba voor">
      <formula>NOT(ISERROR(SEARCH("vaba voor",V7)))</formula>
    </cfRule>
  </conditionalFormatting>
  <conditionalFormatting sqref="J7:J21">
    <cfRule type="containsText" dxfId="491" priority="5" operator="containsText" text="vaba voor">
      <formula>NOT(ISERROR(SEARCH("vaba voor",J7)))</formula>
    </cfRule>
  </conditionalFormatting>
  <conditionalFormatting sqref="C7:F21">
    <cfRule type="expression" dxfId="490" priority="11">
      <formula>IF(AND(ISNUMBER($C7),$C7=$E7),TRUE)</formula>
    </cfRule>
    <cfRule type="expression" dxfId="489" priority="13">
      <formula>IF($C7&gt;$E7,TRUE)</formula>
    </cfRule>
    <cfRule type="expression" dxfId="488" priority="14">
      <formula>IF($C7&lt;$E7,TRUE)</formula>
    </cfRule>
  </conditionalFormatting>
  <conditionalFormatting sqref="G7:J21">
    <cfRule type="expression" dxfId="487" priority="12">
      <formula>IF(AND(ISNUMBER($G7),$G7=$I7),TRUE)</formula>
    </cfRule>
    <cfRule type="expression" dxfId="486" priority="17">
      <formula>IF($G7&gt;$I7,TRUE)</formula>
    </cfRule>
    <cfRule type="expression" dxfId="485" priority="18">
      <formula>IF($G7&lt;$I7,TRUE)</formula>
    </cfRule>
  </conditionalFormatting>
  <conditionalFormatting sqref="K7:N21">
    <cfRule type="expression" dxfId="484" priority="10">
      <formula>IF(AND(ISNUMBER($K7),$K7=$M7),TRUE)</formula>
    </cfRule>
    <cfRule type="expression" dxfId="483" priority="21">
      <formula>IF($K7&gt;$M7,TRUE)</formula>
    </cfRule>
    <cfRule type="expression" dxfId="482" priority="22">
      <formula>IF($K7&lt;$M7,TRUE)</formula>
    </cfRule>
  </conditionalFormatting>
  <conditionalFormatting sqref="O7:R21">
    <cfRule type="expression" dxfId="481" priority="9">
      <formula>IF(AND(ISNUMBER($O7),$O7=$Q7),TRUE)</formula>
    </cfRule>
    <cfRule type="expression" dxfId="480" priority="25">
      <formula>IF($O7&gt;$Q7,TRUE)</formula>
    </cfRule>
    <cfRule type="expression" dxfId="479" priority="26">
      <formula>IF($O7&lt;$Q7,TRUE)</formula>
    </cfRule>
  </conditionalFormatting>
  <conditionalFormatting sqref="S7:V21">
    <cfRule type="expression" dxfId="478" priority="8">
      <formula>IF(AND(ISNUMBER($S7),$S7=$U7),TRUE)</formula>
    </cfRule>
    <cfRule type="expression" dxfId="477" priority="29">
      <formula>IF($S7&gt;$U7,TRUE)</formula>
    </cfRule>
    <cfRule type="expression" dxfId="476" priority="30">
      <formula>IF($S7&lt;$U7,TRUE)</formula>
    </cfRule>
  </conditionalFormatting>
  <conditionalFormatting sqref="C7:C21 G7:G21 K7:K21 O7:O21 S7:S21">
    <cfRule type="expression" dxfId="475" priority="1">
      <formula>AND(C7=0,E7=13)</formula>
    </cfRule>
  </conditionalFormatting>
  <conditionalFormatting sqref="E7:E21 I7:I21 M7:M21 Q7:Q21 U7:U21">
    <cfRule type="expression" dxfId="474" priority="2">
      <formula>AND(E7=0,C7=13)</formula>
    </cfRule>
  </conditionalFormatting>
  <pageMargins left="0.39370078740157483" right="0.39370078740157483" top="0.78740157480314965" bottom="0.39370078740157483" header="0.78740157480314965" footer="0"/>
  <pageSetup paperSize="9" fitToHeight="0" orientation="landscape" verticalDpi="1200" r:id="rId1"/>
  <headerFooter>
    <oddHeader>&amp;R&amp;P. leht &amp;N&amp; -st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P313"/>
  <sheetViews>
    <sheetView showGridLines="0" showRowColHeaders="0" workbookViewId="0">
      <pane ySplit="1" topLeftCell="A2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1" width="3.28515625" style="377" customWidth="1"/>
    <col min="2" max="2" width="35.85546875" style="377" bestFit="1" customWidth="1"/>
    <col min="3" max="3" width="4.7109375" style="377" customWidth="1"/>
    <col min="4" max="4" width="1.140625" style="377" customWidth="1"/>
    <col min="5" max="5" width="2.7109375" style="377" customWidth="1"/>
    <col min="6" max="6" width="9.140625" style="377"/>
    <col min="7" max="7" width="2.7109375" style="377" customWidth="1"/>
    <col min="8" max="8" width="1.140625" style="377" customWidth="1"/>
    <col min="9" max="9" width="2.7109375" style="377" customWidth="1"/>
    <col min="10" max="10" width="9.140625" style="377"/>
    <col min="11" max="11" width="2.7109375" style="377" customWidth="1"/>
    <col min="12" max="12" width="1.140625" style="377" customWidth="1"/>
    <col min="13" max="13" width="2.7109375" style="377" customWidth="1"/>
    <col min="14" max="14" width="9.140625" style="377"/>
    <col min="15" max="15" width="2.7109375" style="377" customWidth="1"/>
    <col min="16" max="16" width="1.140625" style="377" customWidth="1"/>
    <col min="17" max="17" width="2.7109375" style="377" customWidth="1"/>
    <col min="18" max="18" width="9.140625" style="377"/>
    <col min="19" max="19" width="2.7109375" style="377" hidden="1" customWidth="1"/>
    <col min="20" max="20" width="1.140625" style="377" hidden="1" customWidth="1"/>
    <col min="21" max="21" width="2.7109375" style="377" hidden="1" customWidth="1"/>
    <col min="22" max="22" width="0" style="377" hidden="1" customWidth="1"/>
    <col min="23" max="23" width="5.7109375" style="377" customWidth="1"/>
    <col min="24" max="24" width="5.5703125" style="377" customWidth="1"/>
    <col min="25" max="25" width="7.42578125" style="377" customWidth="1"/>
    <col min="26" max="26" width="2.7109375" style="377" customWidth="1"/>
    <col min="27" max="27" width="1.140625" style="377" customWidth="1"/>
    <col min="28" max="28" width="2.7109375" style="377" customWidth="1"/>
    <col min="29" max="29" width="4.7109375" style="377" customWidth="1"/>
    <col min="30" max="31" width="9.140625" style="377" hidden="1" customWidth="1"/>
    <col min="32" max="32" width="17" style="377" hidden="1" customWidth="1"/>
    <col min="33" max="33" width="9.140625" style="377" hidden="1" customWidth="1"/>
    <col min="34" max="34" width="18.28515625" style="377" hidden="1" customWidth="1"/>
    <col min="35" max="35" width="9.140625" style="377" hidden="1" customWidth="1"/>
    <col min="36" max="36" width="17.28515625" style="377" hidden="1" customWidth="1"/>
    <col min="37" max="37" width="9.140625" style="377" hidden="1" customWidth="1"/>
    <col min="38" max="38" width="13.85546875" style="377" hidden="1" customWidth="1"/>
    <col min="39" max="39" width="9.140625" style="377" hidden="1" customWidth="1"/>
    <col min="40" max="40" width="17.28515625" style="377" hidden="1" customWidth="1"/>
    <col min="41" max="41" width="9.140625" style="377" hidden="1" customWidth="1"/>
    <col min="42" max="42" width="13.85546875" style="377" hidden="1" customWidth="1"/>
    <col min="43" max="16384" width="9.140625" style="377"/>
  </cols>
  <sheetData>
    <row r="1" spans="1:42" x14ac:dyDescent="0.2">
      <c r="A1" s="376" t="str">
        <f>UPPER((Kalend!E18)&amp;" - "&amp;(Kalend!C18))&amp;" - "&amp;LOWER(Kalend!D18)&amp;" - "&amp;(Kalend!A18)&amp;" kell "&amp;(Kalend!B18)&amp;" - "&amp;(Kalend!F18)</f>
        <v>V4 - VOKA X KV 4. ETAPP - duo - K, 21.06.2023 kell 18:00 - Voka staadion</v>
      </c>
      <c r="O1" s="378"/>
      <c r="P1" s="378"/>
      <c r="Q1" s="379"/>
      <c r="R1" s="379"/>
      <c r="S1" s="379"/>
      <c r="T1" s="380"/>
      <c r="U1" s="380"/>
      <c r="V1" s="380"/>
      <c r="W1" s="378"/>
      <c r="X1" s="381"/>
      <c r="Y1" s="378"/>
      <c r="Z1" s="378"/>
      <c r="AD1" s="382" t="s">
        <v>133</v>
      </c>
      <c r="AE1" s="383"/>
      <c r="AF1" s="383"/>
      <c r="AG1" s="383"/>
      <c r="AH1" s="383"/>
      <c r="AI1" s="383"/>
      <c r="AJ1" s="383"/>
      <c r="AK1" s="383"/>
      <c r="AL1" s="383"/>
      <c r="AM1" s="383"/>
      <c r="AN1" s="383"/>
      <c r="AO1" s="384"/>
      <c r="AP1" s="384"/>
    </row>
    <row r="2" spans="1:42" x14ac:dyDescent="0.2">
      <c r="A2" s="385"/>
      <c r="F2" s="378"/>
      <c r="L2" s="386"/>
      <c r="M2" s="386"/>
      <c r="N2" s="386"/>
      <c r="O2" s="378"/>
      <c r="P2" s="378"/>
      <c r="Q2" s="378"/>
      <c r="R2" s="387" t="s">
        <v>292</v>
      </c>
      <c r="S2" s="378"/>
      <c r="T2" s="386"/>
      <c r="U2" s="386"/>
      <c r="V2" s="386"/>
      <c r="W2" s="388">
        <v>1</v>
      </c>
      <c r="X2" s="389" t="s">
        <v>293</v>
      </c>
      <c r="Y2" s="378"/>
      <c r="Z2" s="378"/>
      <c r="AA2" s="378"/>
      <c r="AB2" s="378"/>
      <c r="AE2" s="378"/>
      <c r="AG2" s="378"/>
      <c r="AH2" s="378"/>
      <c r="AI2" s="378"/>
      <c r="AJ2" s="378"/>
      <c r="AK2" s="378"/>
      <c r="AL2" s="378"/>
      <c r="AM2" s="378"/>
      <c r="AN2" s="378"/>
    </row>
    <row r="3" spans="1:42" x14ac:dyDescent="0.2">
      <c r="A3" s="385"/>
      <c r="F3" s="378"/>
      <c r="L3" s="378"/>
      <c r="M3" s="378"/>
      <c r="N3" s="378"/>
      <c r="O3" s="378"/>
      <c r="P3" s="378"/>
      <c r="Q3" s="378"/>
      <c r="R3" s="390" t="s">
        <v>294</v>
      </c>
      <c r="S3" s="378"/>
      <c r="T3" s="378"/>
      <c r="U3" s="378"/>
      <c r="V3" s="378"/>
      <c r="W3" s="388">
        <v>0.5</v>
      </c>
      <c r="X3" s="389" t="s">
        <v>293</v>
      </c>
      <c r="Y3" s="378"/>
      <c r="Z3" s="378"/>
      <c r="AA3" s="378"/>
      <c r="AB3" s="378"/>
      <c r="AE3" s="386"/>
      <c r="AF3" s="386"/>
      <c r="AG3" s="386"/>
      <c r="AH3" s="391"/>
      <c r="AI3" s="386"/>
      <c r="AJ3" s="386"/>
      <c r="AK3" s="386"/>
      <c r="AL3" s="386"/>
      <c r="AM3" s="386"/>
      <c r="AN3" s="386"/>
      <c r="AO3" s="386"/>
      <c r="AP3" s="386"/>
    </row>
    <row r="4" spans="1:42" x14ac:dyDescent="0.2">
      <c r="F4" s="378"/>
      <c r="L4" s="378"/>
      <c r="M4" s="378"/>
      <c r="N4" s="378"/>
      <c r="O4" s="378"/>
      <c r="P4" s="378"/>
      <c r="Q4" s="378"/>
      <c r="R4" s="392" t="s">
        <v>295</v>
      </c>
      <c r="S4" s="378"/>
      <c r="T4" s="378"/>
      <c r="U4" s="378"/>
      <c r="V4" s="378"/>
      <c r="W4" s="388">
        <v>0</v>
      </c>
      <c r="X4" s="389" t="s">
        <v>293</v>
      </c>
      <c r="Y4" s="378"/>
      <c r="Z4" s="378"/>
      <c r="AA4" s="378"/>
      <c r="AB4" s="378"/>
    </row>
    <row r="5" spans="1:42" x14ac:dyDescent="0.2">
      <c r="F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W5" s="378"/>
      <c r="X5" s="378"/>
      <c r="Y5" s="378"/>
      <c r="Z5" s="378"/>
      <c r="AA5" s="378"/>
      <c r="AB5" s="393" t="s">
        <v>296</v>
      </c>
      <c r="AD5" s="394" t="s">
        <v>297</v>
      </c>
    </row>
    <row r="6" spans="1:42" x14ac:dyDescent="0.2">
      <c r="A6" s="444" t="s">
        <v>157</v>
      </c>
      <c r="B6" s="444" t="s">
        <v>156</v>
      </c>
      <c r="C6" s="445" t="s">
        <v>298</v>
      </c>
      <c r="D6" s="446"/>
      <c r="E6" s="446"/>
      <c r="F6" s="447"/>
      <c r="G6" s="445" t="s">
        <v>299</v>
      </c>
      <c r="H6" s="446"/>
      <c r="I6" s="446"/>
      <c r="J6" s="447"/>
      <c r="K6" s="445" t="s">
        <v>300</v>
      </c>
      <c r="L6" s="446"/>
      <c r="M6" s="446"/>
      <c r="N6" s="447"/>
      <c r="O6" s="445" t="s">
        <v>301</v>
      </c>
      <c r="P6" s="446"/>
      <c r="Q6" s="446"/>
      <c r="R6" s="447"/>
      <c r="S6" s="445" t="s">
        <v>302</v>
      </c>
      <c r="T6" s="446"/>
      <c r="U6" s="446"/>
      <c r="V6" s="447"/>
      <c r="W6" s="444" t="s">
        <v>142</v>
      </c>
      <c r="X6" s="448" t="s">
        <v>303</v>
      </c>
      <c r="Y6" s="444" t="s">
        <v>304</v>
      </c>
      <c r="Z6" s="448"/>
      <c r="AA6" s="449" t="s">
        <v>305</v>
      </c>
      <c r="AB6" s="450"/>
      <c r="AC6" s="402" t="s">
        <v>306</v>
      </c>
      <c r="AD6" s="403" t="s">
        <v>261</v>
      </c>
      <c r="AE6" s="404"/>
      <c r="AF6" s="404" t="s">
        <v>307</v>
      </c>
      <c r="AG6" s="404"/>
      <c r="AH6" s="405" t="s">
        <v>308</v>
      </c>
      <c r="AI6" s="404"/>
      <c r="AJ6" s="404" t="s">
        <v>309</v>
      </c>
      <c r="AK6" s="406"/>
      <c r="AL6" s="404" t="s">
        <v>310</v>
      </c>
      <c r="AM6" s="406"/>
      <c r="AN6" s="406" t="s">
        <v>311</v>
      </c>
      <c r="AO6" s="407"/>
      <c r="AP6" s="406" t="s">
        <v>312</v>
      </c>
    </row>
    <row r="7" spans="1:42" x14ac:dyDescent="0.2">
      <c r="A7" s="451">
        <v>1</v>
      </c>
      <c r="B7" s="452" t="s">
        <v>406</v>
      </c>
      <c r="C7" s="453">
        <v>13</v>
      </c>
      <c r="D7" s="454" t="s">
        <v>313</v>
      </c>
      <c r="E7" s="454">
        <v>4</v>
      </c>
      <c r="F7" s="455" t="s">
        <v>323</v>
      </c>
      <c r="G7" s="453">
        <v>13</v>
      </c>
      <c r="H7" s="454" t="s">
        <v>313</v>
      </c>
      <c r="I7" s="454">
        <v>6</v>
      </c>
      <c r="J7" s="455" t="s">
        <v>427</v>
      </c>
      <c r="K7" s="453">
        <v>13</v>
      </c>
      <c r="L7" s="454" t="s">
        <v>313</v>
      </c>
      <c r="M7" s="454">
        <v>12</v>
      </c>
      <c r="N7" s="455" t="s">
        <v>420</v>
      </c>
      <c r="O7" s="453">
        <v>13</v>
      </c>
      <c r="P7" s="454" t="s">
        <v>313</v>
      </c>
      <c r="Q7" s="454">
        <v>12</v>
      </c>
      <c r="R7" s="455" t="s">
        <v>324</v>
      </c>
      <c r="S7" s="453"/>
      <c r="T7" s="454"/>
      <c r="U7" s="454"/>
      <c r="V7" s="455"/>
      <c r="W7" s="456">
        <f t="shared" ref="W7:W20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4</v>
      </c>
      <c r="X7" s="457">
        <v>16</v>
      </c>
      <c r="Y7" s="457">
        <v>74</v>
      </c>
      <c r="Z7" s="453">
        <f t="shared" ref="Z7:Z20" si="1">C7+G7+K7+O7+S7</f>
        <v>52</v>
      </c>
      <c r="AA7" s="454" t="s">
        <v>313</v>
      </c>
      <c r="AB7" s="458">
        <f t="shared" ref="AB7:AB20" si="2">E7+I7+M7+Q7+U7</f>
        <v>34</v>
      </c>
      <c r="AC7" s="416">
        <f t="shared" ref="AC7:AC20" si="3">Z7-AB7</f>
        <v>18</v>
      </c>
      <c r="AD7" s="417">
        <f t="shared" ref="AD7:AD10" si="4">SUM(AE7:AL7)</f>
        <v>234</v>
      </c>
      <c r="AE7" s="418">
        <f>IFERROR(INDEX(V!$R:$R,MATCH(AF7,V!$L:$L,0)),"")</f>
        <v>132</v>
      </c>
      <c r="AF7" s="419" t="str">
        <f t="shared" ref="AF7:AF20" si="5">IFERROR(LEFT($B7,(FIND(",",$B7,1)-1)),"")</f>
        <v>Andres Veski</v>
      </c>
      <c r="AG7" s="418">
        <f>IFERROR(INDEX(V!$R:$R,MATCH(AH7,V!$L:$L,0)),"")</f>
        <v>102</v>
      </c>
      <c r="AH7" s="419" t="str">
        <f t="shared" ref="AH7:AH20" si="6">IFERROR(MID($B7,FIND(", ",$B7)+2,256),"")</f>
        <v>Svetlana Veski</v>
      </c>
      <c r="AI7" s="418" t="str">
        <f>IFERROR(INDEX(V!$R:$R,MATCH(AJ7,V!$L:$L,0)),"")</f>
        <v/>
      </c>
      <c r="AJ7" s="419" t="str">
        <f t="shared" ref="AJ7:AJ20" si="7">IFERROR(MID($B7,FIND("^",SUBSTITUTE($B7,", ","^",1))+2,FIND("^",SUBSTITUTE($B7,", ","^",2))-FIND("^",SUBSTITUTE($B7,", ","^",1))-2),"")</f>
        <v/>
      </c>
      <c r="AK7" s="418" t="str">
        <f>IFERROR(INDEX(V!$R:$R,MATCH(AL7,V!$L:$L,0)),"")</f>
        <v/>
      </c>
      <c r="AL7" s="419" t="str">
        <f t="shared" ref="AL7:AL20" si="8">IFERROR(MID($B7,FIND(", ",$B7,FIND(", ",$B7,FIND(", ",$B7))+1)+2,30000),"")</f>
        <v/>
      </c>
      <c r="AM7" s="418" t="str">
        <f>IFERROR(INDEX(V!$R:$R,MATCH(AN7,V!$L:$L,0)),"")</f>
        <v/>
      </c>
      <c r="AN7" s="419" t="str">
        <f t="shared" ref="AN7:AN20" si="9">IFERROR(MID($B7,FIND(", ",$B7,FIND(", ",$B7)+1)+2,FIND(", ",$B7,FIND(", ",$B7,FIND(", ",$B7)+1)+1)-FIND(", ",$B7,FIND(", ",$B7)+1)-2),"")</f>
        <v/>
      </c>
      <c r="AO7" s="418" t="str">
        <f>IFERROR(INDEX(V!$R:$R,MATCH(AP7,V!$L:$L,0)),"")</f>
        <v/>
      </c>
      <c r="AP7" s="419" t="str">
        <f t="shared" ref="AP7:AP20" si="10">IFERROR(MID($B7,FIND(", ",$B7,FIND(", ",$B7,FIND(", ",$B7)+1)+1)+2,30000),"")</f>
        <v/>
      </c>
    </row>
    <row r="8" spans="1:42" x14ac:dyDescent="0.2">
      <c r="A8" s="451">
        <v>2</v>
      </c>
      <c r="B8" s="459" t="s">
        <v>324</v>
      </c>
      <c r="C8" s="453">
        <v>13</v>
      </c>
      <c r="D8" s="454" t="s">
        <v>313</v>
      </c>
      <c r="E8" s="454">
        <v>5</v>
      </c>
      <c r="F8" s="455" t="s">
        <v>428</v>
      </c>
      <c r="G8" s="453">
        <v>13</v>
      </c>
      <c r="H8" s="454" t="s">
        <v>313</v>
      </c>
      <c r="I8" s="454">
        <v>5</v>
      </c>
      <c r="J8" s="455" t="s">
        <v>429</v>
      </c>
      <c r="K8" s="453">
        <v>13</v>
      </c>
      <c r="L8" s="454" t="s">
        <v>313</v>
      </c>
      <c r="M8" s="454">
        <v>7</v>
      </c>
      <c r="N8" s="455" t="s">
        <v>386</v>
      </c>
      <c r="O8" s="453">
        <v>12</v>
      </c>
      <c r="P8" s="454" t="s">
        <v>313</v>
      </c>
      <c r="Q8" s="454">
        <v>13</v>
      </c>
      <c r="R8" s="455" t="s">
        <v>406</v>
      </c>
      <c r="S8" s="453"/>
      <c r="T8" s="454"/>
      <c r="U8" s="454"/>
      <c r="V8" s="455"/>
      <c r="W8" s="456">
        <f t="shared" si="0"/>
        <v>3</v>
      </c>
      <c r="X8" s="457">
        <v>18</v>
      </c>
      <c r="Y8" s="457">
        <v>64</v>
      </c>
      <c r="Z8" s="453">
        <f t="shared" si="1"/>
        <v>51</v>
      </c>
      <c r="AA8" s="454" t="s">
        <v>313</v>
      </c>
      <c r="AB8" s="458">
        <f t="shared" si="2"/>
        <v>30</v>
      </c>
      <c r="AC8" s="416">
        <f t="shared" si="3"/>
        <v>21</v>
      </c>
      <c r="AD8" s="417">
        <f t="shared" si="4"/>
        <v>332</v>
      </c>
      <c r="AE8" s="418">
        <f>IFERROR(INDEX(V!$R:$R,MATCH(AF8,V!$L:$L,0)),"")</f>
        <v>166</v>
      </c>
      <c r="AF8" s="419" t="str">
        <f t="shared" si="5"/>
        <v>Oleg Rõndenkov</v>
      </c>
      <c r="AG8" s="418">
        <f>IFERROR(INDEX(V!$R:$R,MATCH(AH8,V!$L:$L,0)),"")</f>
        <v>166</v>
      </c>
      <c r="AH8" s="419" t="str">
        <f t="shared" si="6"/>
        <v>Sander Rose</v>
      </c>
      <c r="AI8" s="418" t="str">
        <f>IFERROR(INDEX(V!$R:$R,MATCH(AJ8,V!$L:$L,0)),"")</f>
        <v/>
      </c>
      <c r="AJ8" s="419" t="str">
        <f t="shared" si="7"/>
        <v/>
      </c>
      <c r="AK8" s="418" t="str">
        <f>IFERROR(INDEX(V!$R:$R,MATCH(AL8,V!$L:$L,0)),"")</f>
        <v/>
      </c>
      <c r="AL8" s="419" t="str">
        <f t="shared" si="8"/>
        <v/>
      </c>
      <c r="AM8" s="418" t="str">
        <f>IFERROR(INDEX(V!$R:$R,MATCH(AN8,V!$L:$L,0)),"")</f>
        <v/>
      </c>
      <c r="AN8" s="419" t="str">
        <f t="shared" si="9"/>
        <v/>
      </c>
      <c r="AO8" s="418" t="str">
        <f>IFERROR(INDEX(V!$R:$R,MATCH(AP8,V!$L:$L,0)),"")</f>
        <v/>
      </c>
      <c r="AP8" s="419" t="str">
        <f t="shared" si="10"/>
        <v/>
      </c>
    </row>
    <row r="9" spans="1:42" x14ac:dyDescent="0.2">
      <c r="A9" s="451">
        <v>3</v>
      </c>
      <c r="B9" s="460" t="s">
        <v>429</v>
      </c>
      <c r="C9" s="453">
        <v>13</v>
      </c>
      <c r="D9" s="454" t="s">
        <v>313</v>
      </c>
      <c r="E9" s="454">
        <v>5</v>
      </c>
      <c r="F9" s="455" t="s">
        <v>430</v>
      </c>
      <c r="G9" s="453">
        <v>5</v>
      </c>
      <c r="H9" s="454" t="s">
        <v>313</v>
      </c>
      <c r="I9" s="454">
        <v>13</v>
      </c>
      <c r="J9" s="455" t="s">
        <v>324</v>
      </c>
      <c r="K9" s="453">
        <v>13</v>
      </c>
      <c r="L9" s="454" t="s">
        <v>313</v>
      </c>
      <c r="M9" s="454">
        <v>4</v>
      </c>
      <c r="N9" s="455" t="s">
        <v>387</v>
      </c>
      <c r="O9" s="453">
        <v>11</v>
      </c>
      <c r="P9" s="454" t="s">
        <v>313</v>
      </c>
      <c r="Q9" s="454">
        <v>6</v>
      </c>
      <c r="R9" s="455" t="s">
        <v>420</v>
      </c>
      <c r="S9" s="453"/>
      <c r="T9" s="454"/>
      <c r="U9" s="454"/>
      <c r="V9" s="455"/>
      <c r="W9" s="456">
        <f t="shared" si="0"/>
        <v>3</v>
      </c>
      <c r="X9" s="457">
        <v>14</v>
      </c>
      <c r="Y9" s="457">
        <v>76</v>
      </c>
      <c r="Z9" s="453">
        <f t="shared" si="1"/>
        <v>42</v>
      </c>
      <c r="AA9" s="454" t="s">
        <v>313</v>
      </c>
      <c r="AB9" s="458">
        <f t="shared" si="2"/>
        <v>28</v>
      </c>
      <c r="AC9" s="416">
        <f t="shared" si="3"/>
        <v>14</v>
      </c>
      <c r="AD9" s="417">
        <f t="shared" si="4"/>
        <v>340</v>
      </c>
      <c r="AE9" s="418">
        <f>IFERROR(INDEX(V!$R:$R,MATCH(AF9,V!$L:$L,0)),"")</f>
        <v>234</v>
      </c>
      <c r="AF9" s="419" t="str">
        <f t="shared" si="5"/>
        <v>Kenneth Muusikus</v>
      </c>
      <c r="AG9" s="418">
        <f>IFERROR(INDEX(V!$R:$R,MATCH(AH9,V!$L:$L,0)),"")</f>
        <v>106</v>
      </c>
      <c r="AH9" s="419" t="str">
        <f t="shared" si="6"/>
        <v>Viktoria Mets</v>
      </c>
      <c r="AI9" s="418" t="str">
        <f>IFERROR(INDEX(V!$R:$R,MATCH(AJ9,V!$L:$L,0)),"")</f>
        <v/>
      </c>
      <c r="AJ9" s="419" t="str">
        <f t="shared" si="7"/>
        <v/>
      </c>
      <c r="AK9" s="418" t="str">
        <f>IFERROR(INDEX(V!$R:$R,MATCH(AL9,V!$L:$L,0)),"")</f>
        <v/>
      </c>
      <c r="AL9" s="419" t="str">
        <f t="shared" si="8"/>
        <v/>
      </c>
      <c r="AM9" s="418" t="str">
        <f>IFERROR(INDEX(V!$R:$R,MATCH(AN9,V!$L:$L,0)),"")</f>
        <v/>
      </c>
      <c r="AN9" s="419" t="str">
        <f t="shared" si="9"/>
        <v/>
      </c>
      <c r="AO9" s="418" t="str">
        <f>IFERROR(INDEX(V!$R:$R,MATCH(AP9,V!$L:$L,0)),"")</f>
        <v/>
      </c>
      <c r="AP9" s="419" t="str">
        <f t="shared" si="10"/>
        <v/>
      </c>
    </row>
    <row r="10" spans="1:42" x14ac:dyDescent="0.2">
      <c r="A10" s="451">
        <v>4</v>
      </c>
      <c r="B10" s="460" t="s">
        <v>322</v>
      </c>
      <c r="C10" s="453">
        <v>8</v>
      </c>
      <c r="D10" s="454" t="s">
        <v>313</v>
      </c>
      <c r="E10" s="454">
        <v>13</v>
      </c>
      <c r="F10" s="455" t="s">
        <v>387</v>
      </c>
      <c r="G10" s="453">
        <v>13</v>
      </c>
      <c r="H10" s="454" t="s">
        <v>313</v>
      </c>
      <c r="I10" s="454">
        <v>6</v>
      </c>
      <c r="J10" s="455" t="s">
        <v>319</v>
      </c>
      <c r="K10" s="453">
        <v>13</v>
      </c>
      <c r="L10" s="454" t="s">
        <v>313</v>
      </c>
      <c r="M10" s="454">
        <v>2</v>
      </c>
      <c r="N10" s="455" t="s">
        <v>430</v>
      </c>
      <c r="O10" s="453">
        <v>12</v>
      </c>
      <c r="P10" s="454" t="s">
        <v>313</v>
      </c>
      <c r="Q10" s="454">
        <v>9</v>
      </c>
      <c r="R10" s="455" t="s">
        <v>427</v>
      </c>
      <c r="S10" s="453"/>
      <c r="T10" s="454"/>
      <c r="U10" s="454"/>
      <c r="V10" s="455"/>
      <c r="W10" s="456">
        <f t="shared" si="0"/>
        <v>3</v>
      </c>
      <c r="X10" s="457">
        <v>12</v>
      </c>
      <c r="Y10" s="457">
        <v>72</v>
      </c>
      <c r="Z10" s="453">
        <f t="shared" si="1"/>
        <v>46</v>
      </c>
      <c r="AA10" s="454" t="s">
        <v>313</v>
      </c>
      <c r="AB10" s="458">
        <f t="shared" si="2"/>
        <v>30</v>
      </c>
      <c r="AC10" s="416">
        <f t="shared" si="3"/>
        <v>16</v>
      </c>
      <c r="AD10" s="417">
        <f t="shared" si="4"/>
        <v>302</v>
      </c>
      <c r="AE10" s="418">
        <f>IFERROR(INDEX(V!$R:$R,MATCH(AF10,V!$L:$L,0)),"")</f>
        <v>152</v>
      </c>
      <c r="AF10" s="419" t="str">
        <f t="shared" si="5"/>
        <v>Andrei Grintšak</v>
      </c>
      <c r="AG10" s="418">
        <f>IFERROR(INDEX(V!$R:$R,MATCH(AH10,V!$L:$L,0)),"")</f>
        <v>150</v>
      </c>
      <c r="AH10" s="419" t="str">
        <f t="shared" si="6"/>
        <v>Enn Tokman</v>
      </c>
      <c r="AI10" s="418" t="str">
        <f>IFERROR(INDEX(V!$R:$R,MATCH(AJ10,V!$L:$L,0)),"")</f>
        <v/>
      </c>
      <c r="AJ10" s="419" t="str">
        <f t="shared" si="7"/>
        <v/>
      </c>
      <c r="AK10" s="418" t="str">
        <f>IFERROR(INDEX(V!$R:$R,MATCH(AL10,V!$L:$L,0)),"")</f>
        <v/>
      </c>
      <c r="AL10" s="419" t="str">
        <f t="shared" si="8"/>
        <v/>
      </c>
      <c r="AM10" s="418" t="str">
        <f>IFERROR(INDEX(V!$R:$R,MATCH(AN10,V!$L:$L,0)),"")</f>
        <v/>
      </c>
      <c r="AN10" s="419" t="str">
        <f t="shared" si="9"/>
        <v/>
      </c>
      <c r="AO10" s="418" t="str">
        <f>IFERROR(INDEX(V!$R:$R,MATCH(AP10,V!$L:$L,0)),"")</f>
        <v/>
      </c>
      <c r="AP10" s="419" t="str">
        <f t="shared" si="10"/>
        <v/>
      </c>
    </row>
    <row r="11" spans="1:42" x14ac:dyDescent="0.2">
      <c r="A11" s="451">
        <v>5</v>
      </c>
      <c r="B11" s="452" t="s">
        <v>425</v>
      </c>
      <c r="C11" s="453">
        <v>12</v>
      </c>
      <c r="D11" s="454" t="s">
        <v>313</v>
      </c>
      <c r="E11" s="454">
        <v>11</v>
      </c>
      <c r="F11" s="455" t="s">
        <v>319</v>
      </c>
      <c r="G11" s="453">
        <v>6</v>
      </c>
      <c r="H11" s="454" t="s">
        <v>313</v>
      </c>
      <c r="I11" s="454">
        <v>13</v>
      </c>
      <c r="J11" s="455" t="s">
        <v>386</v>
      </c>
      <c r="K11" s="453">
        <v>13</v>
      </c>
      <c r="L11" s="454" t="s">
        <v>313</v>
      </c>
      <c r="M11" s="454">
        <v>7</v>
      </c>
      <c r="N11" s="455" t="s">
        <v>428</v>
      </c>
      <c r="O11" s="453">
        <v>13</v>
      </c>
      <c r="P11" s="454" t="s">
        <v>313</v>
      </c>
      <c r="Q11" s="454">
        <v>2</v>
      </c>
      <c r="R11" s="455" t="s">
        <v>387</v>
      </c>
      <c r="S11" s="453"/>
      <c r="T11" s="454"/>
      <c r="U11" s="454"/>
      <c r="V11" s="455"/>
      <c r="W11" s="456">
        <f t="shared" si="0"/>
        <v>3</v>
      </c>
      <c r="X11" s="457">
        <v>10</v>
      </c>
      <c r="Y11" s="457">
        <v>72</v>
      </c>
      <c r="Z11" s="453">
        <f t="shared" si="1"/>
        <v>44</v>
      </c>
      <c r="AA11" s="454" t="s">
        <v>313</v>
      </c>
      <c r="AB11" s="458">
        <f t="shared" si="2"/>
        <v>33</v>
      </c>
      <c r="AC11" s="416">
        <f t="shared" si="3"/>
        <v>11</v>
      </c>
      <c r="AD11" s="417">
        <f t="shared" ref="AD11:AD13" si="11">SUM(AE11:AL11)</f>
        <v>190</v>
      </c>
      <c r="AE11" s="418">
        <f>IFERROR(INDEX(V!$R:$R,MATCH(AF11,V!$L:$L,0)),"")</f>
        <v>108</v>
      </c>
      <c r="AF11" s="419" t="str">
        <f t="shared" si="5"/>
        <v>Marko Rooden</v>
      </c>
      <c r="AG11" s="418">
        <f>IFERROR(INDEX(V!$R:$R,MATCH(AH11,V!$L:$L,0)),"")</f>
        <v>82</v>
      </c>
      <c r="AH11" s="419" t="str">
        <f t="shared" si="6"/>
        <v>Martin Kuusmann</v>
      </c>
      <c r="AI11" s="418" t="str">
        <f>IFERROR(INDEX(V!$R:$R,MATCH(AJ11,V!$L:$L,0)),"")</f>
        <v/>
      </c>
      <c r="AJ11" s="419" t="str">
        <f t="shared" si="7"/>
        <v/>
      </c>
      <c r="AK11" s="418" t="str">
        <f>IFERROR(INDEX(V!$R:$R,MATCH(AL11,V!$L:$L,0)),"")</f>
        <v/>
      </c>
      <c r="AL11" s="419" t="str">
        <f t="shared" si="8"/>
        <v/>
      </c>
      <c r="AM11" s="418" t="str">
        <f>IFERROR(INDEX(V!$R:$R,MATCH(AN11,V!$L:$L,0)),"")</f>
        <v/>
      </c>
      <c r="AN11" s="419" t="str">
        <f t="shared" si="9"/>
        <v/>
      </c>
      <c r="AO11" s="418" t="str">
        <f>IFERROR(INDEX(V!$R:$R,MATCH(AP11,V!$L:$L,0)),"")</f>
        <v/>
      </c>
      <c r="AP11" s="419" t="str">
        <f t="shared" si="10"/>
        <v/>
      </c>
    </row>
    <row r="12" spans="1:42" x14ac:dyDescent="0.2">
      <c r="A12" s="451">
        <v>6</v>
      </c>
      <c r="B12" s="460" t="s">
        <v>420</v>
      </c>
      <c r="C12" s="453">
        <v>13</v>
      </c>
      <c r="D12" s="454" t="s">
        <v>313</v>
      </c>
      <c r="E12" s="454">
        <v>10</v>
      </c>
      <c r="F12" s="455" t="s">
        <v>386</v>
      </c>
      <c r="G12" s="453">
        <v>13</v>
      </c>
      <c r="H12" s="454" t="s">
        <v>313</v>
      </c>
      <c r="I12" s="454">
        <v>3</v>
      </c>
      <c r="J12" s="455" t="s">
        <v>387</v>
      </c>
      <c r="K12" s="453">
        <v>12</v>
      </c>
      <c r="L12" s="454" t="s">
        <v>313</v>
      </c>
      <c r="M12" s="454">
        <v>13</v>
      </c>
      <c r="N12" s="455" t="s">
        <v>406</v>
      </c>
      <c r="O12" s="453">
        <v>6</v>
      </c>
      <c r="P12" s="454" t="s">
        <v>313</v>
      </c>
      <c r="Q12" s="454">
        <v>11</v>
      </c>
      <c r="R12" s="455" t="s">
        <v>429</v>
      </c>
      <c r="S12" s="453"/>
      <c r="T12" s="454"/>
      <c r="U12" s="454"/>
      <c r="V12" s="455"/>
      <c r="W12" s="456">
        <f t="shared" si="0"/>
        <v>2</v>
      </c>
      <c r="X12" s="457">
        <v>20</v>
      </c>
      <c r="Y12" s="457">
        <v>70</v>
      </c>
      <c r="Z12" s="453">
        <f t="shared" si="1"/>
        <v>44</v>
      </c>
      <c r="AA12" s="454" t="s">
        <v>313</v>
      </c>
      <c r="AB12" s="458">
        <f t="shared" si="2"/>
        <v>37</v>
      </c>
      <c r="AC12" s="416">
        <f t="shared" si="3"/>
        <v>7</v>
      </c>
      <c r="AD12" s="417">
        <f t="shared" si="11"/>
        <v>222</v>
      </c>
      <c r="AE12" s="418">
        <f>IFERROR(INDEX(V!$R:$R,MATCH(AF12,V!$L:$L,0)),"")</f>
        <v>94</v>
      </c>
      <c r="AF12" s="419" t="str">
        <f t="shared" si="5"/>
        <v>Johannes Neiland</v>
      </c>
      <c r="AG12" s="418">
        <f>IFERROR(INDEX(V!$R:$R,MATCH(AH12,V!$L:$L,0)),"")</f>
        <v>128</v>
      </c>
      <c r="AH12" s="419" t="str">
        <f t="shared" si="6"/>
        <v>Urmas Randlaine</v>
      </c>
      <c r="AI12" s="418" t="str">
        <f>IFERROR(INDEX(V!$R:$R,MATCH(AJ12,V!$L:$L,0)),"")</f>
        <v/>
      </c>
      <c r="AJ12" s="419" t="str">
        <f t="shared" si="7"/>
        <v/>
      </c>
      <c r="AK12" s="418" t="str">
        <f>IFERROR(INDEX(V!$R:$R,MATCH(AL12,V!$L:$L,0)),"")</f>
        <v/>
      </c>
      <c r="AL12" s="419" t="str">
        <f t="shared" si="8"/>
        <v/>
      </c>
      <c r="AM12" s="418" t="str">
        <f>IFERROR(INDEX(V!$R:$R,MATCH(AN12,V!$L:$L,0)),"")</f>
        <v/>
      </c>
      <c r="AN12" s="419" t="str">
        <f t="shared" si="9"/>
        <v/>
      </c>
      <c r="AO12" s="418" t="str">
        <f>IFERROR(INDEX(V!$R:$R,MATCH(AP12,V!$L:$L,0)),"")</f>
        <v/>
      </c>
      <c r="AP12" s="419" t="str">
        <f t="shared" si="10"/>
        <v/>
      </c>
    </row>
    <row r="13" spans="1:42" x14ac:dyDescent="0.2">
      <c r="A13" s="451">
        <v>7</v>
      </c>
      <c r="B13" s="461" t="s">
        <v>386</v>
      </c>
      <c r="C13" s="453">
        <v>10</v>
      </c>
      <c r="D13" s="454" t="s">
        <v>313</v>
      </c>
      <c r="E13" s="454">
        <v>13</v>
      </c>
      <c r="F13" s="455" t="s">
        <v>420</v>
      </c>
      <c r="G13" s="453">
        <v>13</v>
      </c>
      <c r="H13" s="454" t="s">
        <v>313</v>
      </c>
      <c r="I13" s="454">
        <v>6</v>
      </c>
      <c r="J13" s="455" t="s">
        <v>431</v>
      </c>
      <c r="K13" s="453">
        <v>7</v>
      </c>
      <c r="L13" s="454" t="s">
        <v>313</v>
      </c>
      <c r="M13" s="454">
        <v>13</v>
      </c>
      <c r="N13" s="455" t="s">
        <v>324</v>
      </c>
      <c r="O13" s="453">
        <v>13</v>
      </c>
      <c r="P13" s="454" t="s">
        <v>313</v>
      </c>
      <c r="Q13" s="454">
        <v>11</v>
      </c>
      <c r="R13" s="455" t="s">
        <v>323</v>
      </c>
      <c r="S13" s="453"/>
      <c r="T13" s="454"/>
      <c r="U13" s="454"/>
      <c r="V13" s="455"/>
      <c r="W13" s="456">
        <f t="shared" si="0"/>
        <v>2</v>
      </c>
      <c r="X13" s="457">
        <v>18</v>
      </c>
      <c r="Y13" s="457">
        <v>66</v>
      </c>
      <c r="Z13" s="453">
        <f t="shared" si="1"/>
        <v>43</v>
      </c>
      <c r="AA13" s="454" t="s">
        <v>313</v>
      </c>
      <c r="AB13" s="458">
        <f t="shared" si="2"/>
        <v>43</v>
      </c>
      <c r="AC13" s="416">
        <f t="shared" si="3"/>
        <v>0</v>
      </c>
      <c r="AD13" s="417">
        <f t="shared" si="11"/>
        <v>208</v>
      </c>
      <c r="AE13" s="418">
        <f>IFERROR(INDEX(V!$R:$R,MATCH(AF13,V!$L:$L,0)),"")</f>
        <v>116</v>
      </c>
      <c r="AF13" s="419" t="str">
        <f t="shared" si="5"/>
        <v>Jaan Saar</v>
      </c>
      <c r="AG13" s="418">
        <f>IFERROR(INDEX(V!$R:$R,MATCH(AH13,V!$L:$L,0)),"")</f>
        <v>92</v>
      </c>
      <c r="AH13" s="419" t="str">
        <f t="shared" si="6"/>
        <v>Liidia Põllu</v>
      </c>
      <c r="AI13" s="418" t="str">
        <f>IFERROR(INDEX(V!$R:$R,MATCH(AJ13,V!$L:$L,0)),"")</f>
        <v/>
      </c>
      <c r="AJ13" s="419" t="str">
        <f t="shared" si="7"/>
        <v/>
      </c>
      <c r="AK13" s="418" t="str">
        <f>IFERROR(INDEX(V!$R:$R,MATCH(AL13,V!$L:$L,0)),"")</f>
        <v/>
      </c>
      <c r="AL13" s="419" t="str">
        <f t="shared" si="8"/>
        <v/>
      </c>
      <c r="AM13" s="418" t="str">
        <f>IFERROR(INDEX(V!$R:$R,MATCH(AN13,V!$L:$L,0)),"")</f>
        <v/>
      </c>
      <c r="AN13" s="419" t="str">
        <f t="shared" si="9"/>
        <v/>
      </c>
      <c r="AO13" s="418" t="str">
        <f>IFERROR(INDEX(V!$R:$R,MATCH(AP13,V!$L:$L,0)),"")</f>
        <v/>
      </c>
      <c r="AP13" s="419" t="str">
        <f t="shared" si="10"/>
        <v/>
      </c>
    </row>
    <row r="14" spans="1:42" x14ac:dyDescent="0.2">
      <c r="A14" s="451">
        <v>8</v>
      </c>
      <c r="B14" s="461" t="s">
        <v>427</v>
      </c>
      <c r="C14" s="453">
        <v>13</v>
      </c>
      <c r="D14" s="454" t="s">
        <v>313</v>
      </c>
      <c r="E14" s="454">
        <v>4</v>
      </c>
      <c r="F14" s="455" t="s">
        <v>394</v>
      </c>
      <c r="G14" s="453">
        <v>6</v>
      </c>
      <c r="H14" s="454" t="s">
        <v>313</v>
      </c>
      <c r="I14" s="454">
        <v>13</v>
      </c>
      <c r="J14" s="455" t="s">
        <v>406</v>
      </c>
      <c r="K14" s="453">
        <v>13</v>
      </c>
      <c r="L14" s="454" t="s">
        <v>313</v>
      </c>
      <c r="M14" s="454">
        <v>4</v>
      </c>
      <c r="N14" s="455" t="s">
        <v>323</v>
      </c>
      <c r="O14" s="453">
        <v>9</v>
      </c>
      <c r="P14" s="454" t="s">
        <v>313</v>
      </c>
      <c r="Q14" s="454">
        <v>12</v>
      </c>
      <c r="R14" s="455" t="s">
        <v>322</v>
      </c>
      <c r="S14" s="453"/>
      <c r="T14" s="454"/>
      <c r="U14" s="454"/>
      <c r="V14" s="455"/>
      <c r="W14" s="456">
        <f t="shared" si="0"/>
        <v>2</v>
      </c>
      <c r="X14" s="457">
        <v>18</v>
      </c>
      <c r="Y14" s="457">
        <v>56</v>
      </c>
      <c r="Z14" s="453">
        <f t="shared" si="1"/>
        <v>41</v>
      </c>
      <c r="AA14" s="454" t="s">
        <v>313</v>
      </c>
      <c r="AB14" s="458">
        <f t="shared" si="2"/>
        <v>33</v>
      </c>
      <c r="AC14" s="416">
        <f t="shared" si="3"/>
        <v>8</v>
      </c>
      <c r="AD14" s="417">
        <f t="shared" ref="AD14:AD15" si="12">SUM(AE14:AL14)</f>
        <v>258</v>
      </c>
      <c r="AE14" s="418">
        <f>IFERROR(INDEX(V!$R:$R,MATCH(AF14,V!$L:$L,0)),"")</f>
        <v>142</v>
      </c>
      <c r="AF14" s="419" t="str">
        <f t="shared" si="5"/>
        <v>Olav Türk</v>
      </c>
      <c r="AG14" s="418">
        <f>IFERROR(INDEX(V!$R:$R,MATCH(AH14,V!$L:$L,0)),"")</f>
        <v>116</v>
      </c>
      <c r="AH14" s="419" t="str">
        <f t="shared" si="6"/>
        <v>Urmas Jõeäär</v>
      </c>
      <c r="AI14" s="418" t="str">
        <f>IFERROR(INDEX(V!$R:$R,MATCH(AJ14,V!$L:$L,0)),"")</f>
        <v/>
      </c>
      <c r="AJ14" s="419" t="str">
        <f t="shared" si="7"/>
        <v/>
      </c>
      <c r="AK14" s="418" t="str">
        <f>IFERROR(INDEX(V!$R:$R,MATCH(AL14,V!$L:$L,0)),"")</f>
        <v/>
      </c>
      <c r="AL14" s="419" t="str">
        <f t="shared" si="8"/>
        <v/>
      </c>
      <c r="AM14" s="418" t="str">
        <f>IFERROR(INDEX(V!$R:$R,MATCH(AN14,V!$L:$L,0)),"")</f>
        <v/>
      </c>
      <c r="AN14" s="419" t="str">
        <f t="shared" si="9"/>
        <v/>
      </c>
      <c r="AO14" s="418" t="str">
        <f>IFERROR(INDEX(V!$R:$R,MATCH(AP14,V!$L:$L,0)),"")</f>
        <v/>
      </c>
      <c r="AP14" s="419" t="str">
        <f t="shared" si="10"/>
        <v/>
      </c>
    </row>
    <row r="15" spans="1:42" x14ac:dyDescent="0.2">
      <c r="A15" s="451">
        <v>9</v>
      </c>
      <c r="B15" s="460" t="s">
        <v>319</v>
      </c>
      <c r="C15" s="453">
        <v>11</v>
      </c>
      <c r="D15" s="454" t="s">
        <v>313</v>
      </c>
      <c r="E15" s="454">
        <v>12</v>
      </c>
      <c r="F15" s="455" t="s">
        <v>431</v>
      </c>
      <c r="G15" s="453">
        <v>6</v>
      </c>
      <c r="H15" s="454" t="s">
        <v>313</v>
      </c>
      <c r="I15" s="454">
        <v>13</v>
      </c>
      <c r="J15" s="455" t="s">
        <v>322</v>
      </c>
      <c r="K15" s="453">
        <v>13</v>
      </c>
      <c r="L15" s="454" t="s">
        <v>313</v>
      </c>
      <c r="M15" s="454">
        <v>2</v>
      </c>
      <c r="N15" s="455" t="s">
        <v>394</v>
      </c>
      <c r="O15" s="453">
        <v>13</v>
      </c>
      <c r="P15" s="454" t="s">
        <v>313</v>
      </c>
      <c r="Q15" s="454">
        <v>5</v>
      </c>
      <c r="R15" s="455" t="s">
        <v>430</v>
      </c>
      <c r="S15" s="453"/>
      <c r="T15" s="454"/>
      <c r="U15" s="454"/>
      <c r="V15" s="455"/>
      <c r="W15" s="456">
        <f t="shared" si="0"/>
        <v>2</v>
      </c>
      <c r="X15" s="457">
        <v>16</v>
      </c>
      <c r="Y15" s="457">
        <v>48</v>
      </c>
      <c r="Z15" s="453">
        <f t="shared" si="1"/>
        <v>43</v>
      </c>
      <c r="AA15" s="454" t="s">
        <v>313</v>
      </c>
      <c r="AB15" s="458">
        <f t="shared" si="2"/>
        <v>32</v>
      </c>
      <c r="AC15" s="416">
        <f t="shared" si="3"/>
        <v>11</v>
      </c>
      <c r="AD15" s="417">
        <f t="shared" si="12"/>
        <v>222</v>
      </c>
      <c r="AE15" s="418">
        <f>IFERROR(INDEX(V!$R:$R,MATCH(AF15,V!$L:$L,0)),"")</f>
        <v>156</v>
      </c>
      <c r="AF15" s="419" t="str">
        <f t="shared" si="5"/>
        <v>Aleksander Korikov</v>
      </c>
      <c r="AG15" s="418">
        <f>IFERROR(INDEX(V!$R:$R,MATCH(AH15,V!$L:$L,0)),"")</f>
        <v>66</v>
      </c>
      <c r="AH15" s="419" t="str">
        <f t="shared" si="6"/>
        <v>Oksana Rõndenkova</v>
      </c>
      <c r="AI15" s="418" t="str">
        <f>IFERROR(INDEX(V!$R:$R,MATCH(AJ15,V!$L:$L,0)),"")</f>
        <v/>
      </c>
      <c r="AJ15" s="419" t="str">
        <f t="shared" si="7"/>
        <v/>
      </c>
      <c r="AK15" s="418" t="str">
        <f>IFERROR(INDEX(V!$R:$R,MATCH(AL15,V!$L:$L,0)),"")</f>
        <v/>
      </c>
      <c r="AL15" s="419" t="str">
        <f t="shared" si="8"/>
        <v/>
      </c>
      <c r="AM15" s="418" t="str">
        <f>IFERROR(INDEX(V!$R:$R,MATCH(AN15,V!$L:$L,0)),"")</f>
        <v/>
      </c>
      <c r="AN15" s="419" t="str">
        <f t="shared" si="9"/>
        <v/>
      </c>
      <c r="AO15" s="418" t="str">
        <f>IFERROR(INDEX(V!$R:$R,MATCH(AP15,V!$L:$L,0)),"")</f>
        <v/>
      </c>
      <c r="AP15" s="419" t="str">
        <f t="shared" si="10"/>
        <v/>
      </c>
    </row>
    <row r="16" spans="1:42" x14ac:dyDescent="0.2">
      <c r="A16" s="451">
        <v>10</v>
      </c>
      <c r="B16" s="461" t="s">
        <v>387</v>
      </c>
      <c r="C16" s="453">
        <v>13</v>
      </c>
      <c r="D16" s="454" t="s">
        <v>313</v>
      </c>
      <c r="E16" s="454">
        <v>8</v>
      </c>
      <c r="F16" s="455" t="s">
        <v>322</v>
      </c>
      <c r="G16" s="453">
        <v>3</v>
      </c>
      <c r="H16" s="454" t="s">
        <v>313</v>
      </c>
      <c r="I16" s="454">
        <v>13</v>
      </c>
      <c r="J16" s="455" t="s">
        <v>420</v>
      </c>
      <c r="K16" s="453">
        <v>4</v>
      </c>
      <c r="L16" s="454" t="s">
        <v>313</v>
      </c>
      <c r="M16" s="454">
        <v>13</v>
      </c>
      <c r="N16" s="455" t="s">
        <v>429</v>
      </c>
      <c r="O16" s="453">
        <v>2</v>
      </c>
      <c r="P16" s="454" t="s">
        <v>313</v>
      </c>
      <c r="Q16" s="454">
        <v>13</v>
      </c>
      <c r="R16" s="455" t="s">
        <v>431</v>
      </c>
      <c r="S16" s="453"/>
      <c r="T16" s="454"/>
      <c r="U16" s="454"/>
      <c r="V16" s="455"/>
      <c r="W16" s="456">
        <f t="shared" si="0"/>
        <v>1</v>
      </c>
      <c r="X16" s="457">
        <v>22</v>
      </c>
      <c r="Y16" s="457">
        <v>56</v>
      </c>
      <c r="Z16" s="453">
        <f t="shared" si="1"/>
        <v>22</v>
      </c>
      <c r="AA16" s="454" t="s">
        <v>313</v>
      </c>
      <c r="AB16" s="458">
        <f t="shared" si="2"/>
        <v>47</v>
      </c>
      <c r="AC16" s="416">
        <f t="shared" si="3"/>
        <v>-25</v>
      </c>
      <c r="AD16" s="417">
        <f t="shared" ref="AD16:AD19" si="13">SUM(AE16:AL16)</f>
        <v>226</v>
      </c>
      <c r="AE16" s="418">
        <f>IFERROR(INDEX(V!$R:$R,MATCH(AF16,V!$L:$L,0)),"")</f>
        <v>102</v>
      </c>
      <c r="AF16" s="419" t="str">
        <f t="shared" si="5"/>
        <v>Ljudmila Varendi</v>
      </c>
      <c r="AG16" s="418">
        <f>IFERROR(INDEX(V!$R:$R,MATCH(AH16,V!$L:$L,0)),"")</f>
        <v>124</v>
      </c>
      <c r="AH16" s="419" t="str">
        <f t="shared" si="6"/>
        <v>Viktor Švarõgin</v>
      </c>
      <c r="AI16" s="418" t="str">
        <f>IFERROR(INDEX(V!$R:$R,MATCH(AJ16,V!$L:$L,0)),"")</f>
        <v/>
      </c>
      <c r="AJ16" s="419" t="str">
        <f t="shared" si="7"/>
        <v/>
      </c>
      <c r="AK16" s="418" t="str">
        <f>IFERROR(INDEX(V!$R:$R,MATCH(AL16,V!$L:$L,0)),"")</f>
        <v/>
      </c>
      <c r="AL16" s="419" t="str">
        <f t="shared" si="8"/>
        <v/>
      </c>
      <c r="AM16" s="418" t="str">
        <f>IFERROR(INDEX(V!$R:$R,MATCH(AN16,V!$L:$L,0)),"")</f>
        <v/>
      </c>
      <c r="AN16" s="419" t="str">
        <f t="shared" si="9"/>
        <v/>
      </c>
      <c r="AO16" s="418" t="str">
        <f>IFERROR(INDEX(V!$R:$R,MATCH(AP16,V!$L:$L,0)),"")</f>
        <v/>
      </c>
      <c r="AP16" s="419" t="str">
        <f t="shared" si="10"/>
        <v/>
      </c>
    </row>
    <row r="17" spans="1:42" x14ac:dyDescent="0.2">
      <c r="A17" s="451">
        <v>11</v>
      </c>
      <c r="B17" s="460" t="s">
        <v>323</v>
      </c>
      <c r="C17" s="453">
        <v>4</v>
      </c>
      <c r="D17" s="454" t="s">
        <v>313</v>
      </c>
      <c r="E17" s="454">
        <v>13</v>
      </c>
      <c r="F17" s="455" t="s">
        <v>406</v>
      </c>
      <c r="G17" s="453">
        <v>13</v>
      </c>
      <c r="H17" s="454" t="s">
        <v>313</v>
      </c>
      <c r="I17" s="454">
        <v>1</v>
      </c>
      <c r="J17" s="455" t="s">
        <v>394</v>
      </c>
      <c r="K17" s="453">
        <v>4</v>
      </c>
      <c r="L17" s="454" t="s">
        <v>313</v>
      </c>
      <c r="M17" s="454">
        <v>13</v>
      </c>
      <c r="N17" s="455" t="s">
        <v>427</v>
      </c>
      <c r="O17" s="453">
        <v>11</v>
      </c>
      <c r="P17" s="454" t="s">
        <v>313</v>
      </c>
      <c r="Q17" s="454">
        <v>13</v>
      </c>
      <c r="R17" s="455" t="s">
        <v>386</v>
      </c>
      <c r="S17" s="453"/>
      <c r="T17" s="454"/>
      <c r="U17" s="454"/>
      <c r="V17" s="455"/>
      <c r="W17" s="456">
        <f t="shared" si="0"/>
        <v>1</v>
      </c>
      <c r="X17" s="457">
        <v>18</v>
      </c>
      <c r="Y17" s="457">
        <v>62</v>
      </c>
      <c r="Z17" s="453">
        <f t="shared" si="1"/>
        <v>32</v>
      </c>
      <c r="AA17" s="454" t="s">
        <v>313</v>
      </c>
      <c r="AB17" s="458">
        <f t="shared" si="2"/>
        <v>40</v>
      </c>
      <c r="AC17" s="416">
        <f t="shared" si="3"/>
        <v>-8</v>
      </c>
      <c r="AD17" s="417">
        <f t="shared" si="13"/>
        <v>308</v>
      </c>
      <c r="AE17" s="418">
        <f>IFERROR(INDEX(V!$R:$R,MATCH(AF17,V!$L:$L,0)),"")</f>
        <v>154</v>
      </c>
      <c r="AF17" s="419" t="str">
        <f t="shared" si="5"/>
        <v>Kristel Tihhonjuk</v>
      </c>
      <c r="AG17" s="418">
        <f>IFERROR(INDEX(V!$R:$R,MATCH(AH17,V!$L:$L,0)),"")</f>
        <v>154</v>
      </c>
      <c r="AH17" s="419" t="str">
        <f t="shared" si="6"/>
        <v>Vadim Tihhonjuk</v>
      </c>
      <c r="AI17" s="418" t="str">
        <f>IFERROR(INDEX(V!$R:$R,MATCH(AJ17,V!$L:$L,0)),"")</f>
        <v/>
      </c>
      <c r="AJ17" s="419" t="str">
        <f t="shared" si="7"/>
        <v/>
      </c>
      <c r="AK17" s="418" t="str">
        <f>IFERROR(INDEX(V!$R:$R,MATCH(AL17,V!$L:$L,0)),"")</f>
        <v/>
      </c>
      <c r="AL17" s="419" t="str">
        <f t="shared" si="8"/>
        <v/>
      </c>
      <c r="AM17" s="418" t="str">
        <f>IFERROR(INDEX(V!$R:$R,MATCH(AN17,V!$L:$L,0)),"")</f>
        <v/>
      </c>
      <c r="AN17" s="419" t="str">
        <f t="shared" si="9"/>
        <v/>
      </c>
      <c r="AO17" s="418" t="str">
        <f>IFERROR(INDEX(V!$R:$R,MATCH(AP17,V!$L:$L,0)),"")</f>
        <v/>
      </c>
      <c r="AP17" s="419" t="str">
        <f t="shared" si="10"/>
        <v/>
      </c>
    </row>
    <row r="18" spans="1:42" x14ac:dyDescent="0.2">
      <c r="A18" s="451">
        <v>12</v>
      </c>
      <c r="B18" s="461" t="s">
        <v>430</v>
      </c>
      <c r="C18" s="453">
        <v>5</v>
      </c>
      <c r="D18" s="454" t="s">
        <v>313</v>
      </c>
      <c r="E18" s="454">
        <v>13</v>
      </c>
      <c r="F18" s="455" t="s">
        <v>429</v>
      </c>
      <c r="G18" s="453">
        <v>13</v>
      </c>
      <c r="H18" s="454" t="s">
        <v>313</v>
      </c>
      <c r="I18" s="454">
        <v>12</v>
      </c>
      <c r="J18" s="455" t="s">
        <v>428</v>
      </c>
      <c r="K18" s="453">
        <v>2</v>
      </c>
      <c r="L18" s="454" t="s">
        <v>313</v>
      </c>
      <c r="M18" s="454">
        <v>13</v>
      </c>
      <c r="N18" s="455" t="s">
        <v>322</v>
      </c>
      <c r="O18" s="453">
        <v>5</v>
      </c>
      <c r="P18" s="454" t="s">
        <v>313</v>
      </c>
      <c r="Q18" s="454">
        <v>13</v>
      </c>
      <c r="R18" s="455" t="s">
        <v>319</v>
      </c>
      <c r="S18" s="453"/>
      <c r="T18" s="454"/>
      <c r="U18" s="454"/>
      <c r="V18" s="455"/>
      <c r="W18" s="456">
        <f t="shared" si="0"/>
        <v>1</v>
      </c>
      <c r="X18" s="457">
        <v>16</v>
      </c>
      <c r="Y18" s="457">
        <v>58</v>
      </c>
      <c r="Z18" s="453">
        <f t="shared" si="1"/>
        <v>25</v>
      </c>
      <c r="AA18" s="454" t="s">
        <v>313</v>
      </c>
      <c r="AB18" s="458">
        <f t="shared" si="2"/>
        <v>51</v>
      </c>
      <c r="AC18" s="416">
        <f t="shared" si="3"/>
        <v>-26</v>
      </c>
      <c r="AD18" s="417">
        <f t="shared" si="13"/>
        <v>22</v>
      </c>
      <c r="AE18" s="418">
        <f>IFERROR(INDEX(V!$R:$R,MATCH(AF18,V!$L:$L,0)),"")</f>
        <v>14</v>
      </c>
      <c r="AF18" s="419" t="str">
        <f t="shared" si="5"/>
        <v>David Arzantsev</v>
      </c>
      <c r="AG18" s="418">
        <f>IFERROR(INDEX(V!$R:$R,MATCH(AH18,V!$L:$L,0)),"")</f>
        <v>8</v>
      </c>
      <c r="AH18" s="419" t="str">
        <f t="shared" si="6"/>
        <v>Nikolai Arzantsev</v>
      </c>
      <c r="AI18" s="418" t="str">
        <f>IFERROR(INDEX(V!$R:$R,MATCH(AJ18,V!$L:$L,0)),"")</f>
        <v/>
      </c>
      <c r="AJ18" s="419" t="str">
        <f t="shared" si="7"/>
        <v/>
      </c>
      <c r="AK18" s="418" t="str">
        <f>IFERROR(INDEX(V!$R:$R,MATCH(AL18,V!$L:$L,0)),"")</f>
        <v/>
      </c>
      <c r="AL18" s="419" t="str">
        <f t="shared" si="8"/>
        <v/>
      </c>
      <c r="AM18" s="418" t="str">
        <f>IFERROR(INDEX(V!$R:$R,MATCH(AN18,V!$L:$L,0)),"")</f>
        <v/>
      </c>
      <c r="AN18" s="419" t="str">
        <f t="shared" si="9"/>
        <v/>
      </c>
      <c r="AO18" s="418" t="str">
        <f>IFERROR(INDEX(V!$R:$R,MATCH(AP18,V!$L:$L,0)),"")</f>
        <v/>
      </c>
      <c r="AP18" s="419" t="str">
        <f t="shared" si="10"/>
        <v/>
      </c>
    </row>
    <row r="19" spans="1:42" x14ac:dyDescent="0.2">
      <c r="A19" s="451">
        <v>13</v>
      </c>
      <c r="B19" s="460" t="s">
        <v>394</v>
      </c>
      <c r="C19" s="453">
        <v>4</v>
      </c>
      <c r="D19" s="454" t="s">
        <v>313</v>
      </c>
      <c r="E19" s="454">
        <v>13</v>
      </c>
      <c r="F19" s="455" t="s">
        <v>427</v>
      </c>
      <c r="G19" s="453">
        <v>1</v>
      </c>
      <c r="H19" s="454" t="s">
        <v>313</v>
      </c>
      <c r="I19" s="454">
        <v>13</v>
      </c>
      <c r="J19" s="455" t="s">
        <v>323</v>
      </c>
      <c r="K19" s="453">
        <v>2</v>
      </c>
      <c r="L19" s="454" t="s">
        <v>313</v>
      </c>
      <c r="M19" s="454">
        <v>13</v>
      </c>
      <c r="N19" s="455" t="s">
        <v>319</v>
      </c>
      <c r="O19" s="453">
        <v>13</v>
      </c>
      <c r="P19" s="454" t="s">
        <v>313</v>
      </c>
      <c r="Q19" s="454">
        <v>7</v>
      </c>
      <c r="R19" s="455" t="s">
        <v>428</v>
      </c>
      <c r="S19" s="453"/>
      <c r="T19" s="454"/>
      <c r="U19" s="454"/>
      <c r="V19" s="455"/>
      <c r="W19" s="456">
        <f t="shared" si="0"/>
        <v>1</v>
      </c>
      <c r="X19" s="457">
        <v>10</v>
      </c>
      <c r="Y19" s="457">
        <v>68</v>
      </c>
      <c r="Z19" s="453">
        <f t="shared" si="1"/>
        <v>20</v>
      </c>
      <c r="AA19" s="454" t="s">
        <v>313</v>
      </c>
      <c r="AB19" s="458">
        <f t="shared" si="2"/>
        <v>46</v>
      </c>
      <c r="AC19" s="416">
        <f t="shared" si="3"/>
        <v>-26</v>
      </c>
      <c r="AD19" s="417">
        <f t="shared" si="13"/>
        <v>176</v>
      </c>
      <c r="AE19" s="418">
        <f>IFERROR(INDEX(V!$R:$R,MATCH(AF19,V!$L:$L,0)),"")</f>
        <v>62</v>
      </c>
      <c r="AF19" s="419" t="str">
        <f t="shared" si="5"/>
        <v>Boriss Klubov</v>
      </c>
      <c r="AG19" s="418">
        <f>IFERROR(INDEX(V!$R:$R,MATCH(AH19,V!$L:$L,0)),"")</f>
        <v>114</v>
      </c>
      <c r="AH19" s="419" t="str">
        <f t="shared" si="6"/>
        <v>Elmo Lageda</v>
      </c>
      <c r="AI19" s="418" t="str">
        <f>IFERROR(INDEX(V!$R:$R,MATCH(AJ19,V!$L:$L,0)),"")</f>
        <v/>
      </c>
      <c r="AJ19" s="419" t="str">
        <f t="shared" si="7"/>
        <v/>
      </c>
      <c r="AK19" s="418" t="str">
        <f>IFERROR(INDEX(V!$R:$R,MATCH(AL19,V!$L:$L,0)),"")</f>
        <v/>
      </c>
      <c r="AL19" s="419" t="str">
        <f t="shared" si="8"/>
        <v/>
      </c>
      <c r="AM19" s="418" t="str">
        <f>IFERROR(INDEX(V!$R:$R,MATCH(AN19,V!$L:$L,0)),"")</f>
        <v/>
      </c>
      <c r="AN19" s="419" t="str">
        <f t="shared" si="9"/>
        <v/>
      </c>
      <c r="AO19" s="418" t="str">
        <f>IFERROR(INDEX(V!$R:$R,MATCH(AP19,V!$L:$L,0)),"")</f>
        <v/>
      </c>
      <c r="AP19" s="419" t="str">
        <f t="shared" si="10"/>
        <v/>
      </c>
    </row>
    <row r="20" spans="1:42" x14ac:dyDescent="0.2">
      <c r="A20" s="451">
        <v>14</v>
      </c>
      <c r="B20" s="461" t="s">
        <v>428</v>
      </c>
      <c r="C20" s="453">
        <v>5</v>
      </c>
      <c r="D20" s="454" t="s">
        <v>313</v>
      </c>
      <c r="E20" s="454">
        <v>13</v>
      </c>
      <c r="F20" s="455" t="s">
        <v>324</v>
      </c>
      <c r="G20" s="453">
        <v>12</v>
      </c>
      <c r="H20" s="454" t="s">
        <v>313</v>
      </c>
      <c r="I20" s="454">
        <v>13</v>
      </c>
      <c r="J20" s="455" t="s">
        <v>430</v>
      </c>
      <c r="K20" s="453">
        <v>7</v>
      </c>
      <c r="L20" s="454" t="s">
        <v>313</v>
      </c>
      <c r="M20" s="454">
        <v>13</v>
      </c>
      <c r="N20" s="455" t="s">
        <v>431</v>
      </c>
      <c r="O20" s="453">
        <v>7</v>
      </c>
      <c r="P20" s="454" t="s">
        <v>313</v>
      </c>
      <c r="Q20" s="454">
        <v>13</v>
      </c>
      <c r="R20" s="455" t="s">
        <v>394</v>
      </c>
      <c r="S20" s="453"/>
      <c r="T20" s="454"/>
      <c r="U20" s="454"/>
      <c r="V20" s="455"/>
      <c r="W20" s="456">
        <f t="shared" si="0"/>
        <v>0</v>
      </c>
      <c r="X20" s="457">
        <v>16</v>
      </c>
      <c r="Y20" s="457">
        <v>54</v>
      </c>
      <c r="Z20" s="453">
        <f t="shared" si="1"/>
        <v>31</v>
      </c>
      <c r="AA20" s="454" t="s">
        <v>313</v>
      </c>
      <c r="AB20" s="458">
        <f t="shared" si="2"/>
        <v>52</v>
      </c>
      <c r="AC20" s="416">
        <f t="shared" si="3"/>
        <v>-21</v>
      </c>
      <c r="AD20" s="417">
        <f t="shared" ref="AD20" si="14">SUM(AE20:AL20)</f>
        <v>22</v>
      </c>
      <c r="AE20" s="418">
        <f>IFERROR(INDEX(V!$R:$R,MATCH(AF20,V!$L:$L,0)),"")</f>
        <v>10</v>
      </c>
      <c r="AF20" s="419" t="str">
        <f t="shared" si="5"/>
        <v>Illar Tõnurist</v>
      </c>
      <c r="AG20" s="418">
        <f>IFERROR(INDEX(V!$R:$R,MATCH(AH20,V!$L:$L,0)),"")</f>
        <v>12</v>
      </c>
      <c r="AH20" s="419" t="str">
        <f t="shared" si="6"/>
        <v>Jüri Mitt</v>
      </c>
      <c r="AI20" s="418" t="str">
        <f>IFERROR(INDEX(V!$R:$R,MATCH(AJ20,V!$L:$L,0)),"")</f>
        <v/>
      </c>
      <c r="AJ20" s="419" t="str">
        <f t="shared" si="7"/>
        <v/>
      </c>
      <c r="AK20" s="418" t="str">
        <f>IFERROR(INDEX(V!$R:$R,MATCH(AL20,V!$L:$L,0)),"")</f>
        <v/>
      </c>
      <c r="AL20" s="419" t="str">
        <f t="shared" si="8"/>
        <v/>
      </c>
      <c r="AM20" s="418" t="str">
        <f>IFERROR(INDEX(V!$R:$R,MATCH(AN20,V!$L:$L,0)),"")</f>
        <v/>
      </c>
      <c r="AN20" s="419" t="str">
        <f t="shared" si="9"/>
        <v/>
      </c>
      <c r="AO20" s="418" t="str">
        <f>IFERROR(INDEX(V!$R:$R,MATCH(AP20,V!$L:$L,0)),"")</f>
        <v/>
      </c>
      <c r="AP20" s="419" t="str">
        <f t="shared" si="10"/>
        <v/>
      </c>
    </row>
    <row r="23" spans="1:42" hidden="1" x14ac:dyDescent="0.2"/>
    <row r="24" spans="1:42" hidden="1" x14ac:dyDescent="0.2"/>
    <row r="25" spans="1:42" hidden="1" x14ac:dyDescent="0.2"/>
    <row r="26" spans="1:42" hidden="1" x14ac:dyDescent="0.2"/>
    <row r="27" spans="1:42" hidden="1" x14ac:dyDescent="0.2"/>
    <row r="28" spans="1:42" hidden="1" x14ac:dyDescent="0.2"/>
    <row r="29" spans="1:42" hidden="1" x14ac:dyDescent="0.2"/>
    <row r="30" spans="1:42" hidden="1" x14ac:dyDescent="0.2"/>
    <row r="31" spans="1:42" hidden="1" x14ac:dyDescent="0.2"/>
    <row r="32" spans="1:4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6" hidden="1" x14ac:dyDescent="0.2"/>
    <row r="290" spans="1:6" hidden="1" x14ac:dyDescent="0.2"/>
    <row r="291" spans="1:6" hidden="1" x14ac:dyDescent="0.2"/>
    <row r="292" spans="1:6" hidden="1" x14ac:dyDescent="0.2"/>
    <row r="293" spans="1:6" hidden="1" x14ac:dyDescent="0.2"/>
    <row r="294" spans="1:6" hidden="1" x14ac:dyDescent="0.2"/>
    <row r="295" spans="1:6" hidden="1" x14ac:dyDescent="0.2"/>
    <row r="296" spans="1:6" hidden="1" x14ac:dyDescent="0.2"/>
    <row r="297" spans="1:6" hidden="1" x14ac:dyDescent="0.2"/>
    <row r="298" spans="1:6" hidden="1" x14ac:dyDescent="0.2"/>
    <row r="299" spans="1:6" x14ac:dyDescent="0.2">
      <c r="A299" s="378"/>
      <c r="B299" s="378"/>
      <c r="C299" s="423" t="s">
        <v>316</v>
      </c>
      <c r="F299" s="424"/>
    </row>
    <row r="300" spans="1:6" x14ac:dyDescent="0.2">
      <c r="A300" s="462">
        <v>1</v>
      </c>
      <c r="B300" s="463" t="str">
        <f t="shared" ref="B300:B313" si="15">IFERROR(INDEX(B$1:B$95,MATCH(A300,A$1:A$95,0)),"")</f>
        <v>Andres Veski, Svetlana Veski</v>
      </c>
      <c r="C300" s="427">
        <f>LARGE(A$300:A$400,1)*2+2-A300*2</f>
        <v>28</v>
      </c>
      <c r="F300" s="424"/>
    </row>
    <row r="301" spans="1:6" x14ac:dyDescent="0.2">
      <c r="A301" s="462">
        <v>2</v>
      </c>
      <c r="B301" s="463" t="str">
        <f t="shared" si="15"/>
        <v>Oleg Rõndenkov, Sander Rose</v>
      </c>
      <c r="C301" s="427">
        <f t="shared" ref="C301:C313" si="16">LARGE(A$300:A$400,1)*2+2-A301*2</f>
        <v>26</v>
      </c>
      <c r="F301" s="424"/>
    </row>
    <row r="302" spans="1:6" x14ac:dyDescent="0.2">
      <c r="A302" s="462">
        <v>3</v>
      </c>
      <c r="B302" s="463" t="str">
        <f t="shared" si="15"/>
        <v>Kenneth Muusikus, Viktoria Mets</v>
      </c>
      <c r="C302" s="427">
        <f t="shared" si="16"/>
        <v>24</v>
      </c>
      <c r="F302" s="424"/>
    </row>
    <row r="303" spans="1:6" x14ac:dyDescent="0.2">
      <c r="A303" s="462">
        <v>4</v>
      </c>
      <c r="B303" s="463" t="str">
        <f t="shared" si="15"/>
        <v>Andrei Grintšak, Enn Tokman</v>
      </c>
      <c r="C303" s="427">
        <f t="shared" si="16"/>
        <v>22</v>
      </c>
      <c r="F303" s="424"/>
    </row>
    <row r="304" spans="1:6" x14ac:dyDescent="0.2">
      <c r="A304" s="462">
        <v>5</v>
      </c>
      <c r="B304" s="463" t="str">
        <f t="shared" si="15"/>
        <v>Marko Rooden, Martin Kuusmann</v>
      </c>
      <c r="C304" s="427">
        <f t="shared" si="16"/>
        <v>20</v>
      </c>
      <c r="F304" s="424"/>
    </row>
    <row r="305" spans="1:6" x14ac:dyDescent="0.2">
      <c r="A305" s="462">
        <v>6</v>
      </c>
      <c r="B305" s="463" t="str">
        <f t="shared" si="15"/>
        <v>Johannes Neiland, Urmas Randlaine</v>
      </c>
      <c r="C305" s="427">
        <f t="shared" si="16"/>
        <v>18</v>
      </c>
      <c r="F305" s="424"/>
    </row>
    <row r="306" spans="1:6" x14ac:dyDescent="0.2">
      <c r="A306" s="462">
        <v>7</v>
      </c>
      <c r="B306" s="463" t="str">
        <f t="shared" si="15"/>
        <v>Jaan Saar, Liidia Põllu</v>
      </c>
      <c r="C306" s="427">
        <f t="shared" si="16"/>
        <v>16</v>
      </c>
      <c r="F306" s="424"/>
    </row>
    <row r="307" spans="1:6" x14ac:dyDescent="0.2">
      <c r="A307" s="462">
        <v>8</v>
      </c>
      <c r="B307" s="463" t="str">
        <f t="shared" si="15"/>
        <v>Olav Türk, Urmas Jõeäär</v>
      </c>
      <c r="C307" s="427">
        <f t="shared" si="16"/>
        <v>14</v>
      </c>
      <c r="F307" s="424"/>
    </row>
    <row r="308" spans="1:6" x14ac:dyDescent="0.2">
      <c r="A308" s="462">
        <v>9</v>
      </c>
      <c r="B308" s="463" t="str">
        <f t="shared" si="15"/>
        <v>Aleksander Korikov, Oksana Rõndenkova</v>
      </c>
      <c r="C308" s="427">
        <f t="shared" si="16"/>
        <v>12</v>
      </c>
      <c r="F308" s="424"/>
    </row>
    <row r="309" spans="1:6" x14ac:dyDescent="0.2">
      <c r="A309" s="462">
        <v>10</v>
      </c>
      <c r="B309" s="463" t="str">
        <f t="shared" si="15"/>
        <v>Ljudmila Varendi, Viktor Švarõgin</v>
      </c>
      <c r="C309" s="427">
        <f t="shared" si="16"/>
        <v>10</v>
      </c>
    </row>
    <row r="310" spans="1:6" x14ac:dyDescent="0.2">
      <c r="A310" s="462">
        <v>11</v>
      </c>
      <c r="B310" s="463" t="str">
        <f t="shared" si="15"/>
        <v>Kristel Tihhonjuk, Vadim Tihhonjuk</v>
      </c>
      <c r="C310" s="427">
        <f t="shared" si="16"/>
        <v>8</v>
      </c>
    </row>
    <row r="311" spans="1:6" x14ac:dyDescent="0.2">
      <c r="A311" s="462">
        <v>12</v>
      </c>
      <c r="B311" s="463" t="str">
        <f t="shared" si="15"/>
        <v>David Arzantsev, Nikolai Arzantsev</v>
      </c>
      <c r="C311" s="427">
        <f t="shared" si="16"/>
        <v>6</v>
      </c>
    </row>
    <row r="312" spans="1:6" x14ac:dyDescent="0.2">
      <c r="A312" s="462">
        <v>13</v>
      </c>
      <c r="B312" s="463" t="str">
        <f t="shared" si="15"/>
        <v>Boriss Klubov, Elmo Lageda</v>
      </c>
      <c r="C312" s="427">
        <f t="shared" si="16"/>
        <v>4</v>
      </c>
    </row>
    <row r="313" spans="1:6" x14ac:dyDescent="0.2">
      <c r="A313" s="462">
        <v>14</v>
      </c>
      <c r="B313" s="463" t="str">
        <f t="shared" si="15"/>
        <v>Illar Tõnurist, Jüri Mitt</v>
      </c>
      <c r="C313" s="427">
        <f t="shared" si="16"/>
        <v>2</v>
      </c>
    </row>
  </sheetData>
  <conditionalFormatting sqref="AJ7:AJ20 AH7:AH20 AL7:AL20">
    <cfRule type="expression" dxfId="473" priority="36">
      <formula>AND(AG7="",FIND(",",AH7))</formula>
    </cfRule>
    <cfRule type="expression" dxfId="472" priority="38">
      <formula>AND(AG7="",COUNTIF(AH7,"*,*")=0)</formula>
    </cfRule>
  </conditionalFormatting>
  <conditionalFormatting sqref="AF7:AF20">
    <cfRule type="expression" dxfId="471" priority="37">
      <formula>AND(AE7="",COUNTIF(AF7,"*,*")=0)</formula>
    </cfRule>
  </conditionalFormatting>
  <conditionalFormatting sqref="AN7:AN20 AP7:AP20">
    <cfRule type="expression" dxfId="470" priority="34">
      <formula>AND(AM7="",COUNTIF(AN7,"*,*")=0)</formula>
    </cfRule>
    <cfRule type="expression" dxfId="469" priority="35">
      <formula>AND(AM7="",FIND(",",AN7))</formula>
    </cfRule>
  </conditionalFormatting>
  <conditionalFormatting sqref="B300:B313">
    <cfRule type="expression" dxfId="468" priority="39">
      <formula>A300=3</formula>
    </cfRule>
    <cfRule type="expression" dxfId="467" priority="40">
      <formula>A300=2</formula>
    </cfRule>
    <cfRule type="expression" dxfId="466" priority="41">
      <formula>A300=1</formula>
    </cfRule>
    <cfRule type="containsBlanks" dxfId="465" priority="42">
      <formula>LEN(TRIM(B300))=0</formula>
    </cfRule>
    <cfRule type="duplicateValues" dxfId="464" priority="43"/>
  </conditionalFormatting>
  <conditionalFormatting sqref="A7:A20">
    <cfRule type="duplicateValues" dxfId="463" priority="33"/>
  </conditionalFormatting>
  <conditionalFormatting sqref="C7:C20">
    <cfRule type="expression" dxfId="462" priority="15">
      <formula>IF($C7&gt;$E7,TRUE)</formula>
    </cfRule>
  </conditionalFormatting>
  <conditionalFormatting sqref="E7:E20">
    <cfRule type="expression" dxfId="461" priority="16">
      <formula>IF($C7&lt;$E7,TRUE)</formula>
    </cfRule>
  </conditionalFormatting>
  <conditionalFormatting sqref="K7:K20">
    <cfRule type="expression" dxfId="460" priority="23">
      <formula>IF($K7&gt;$M7,TRUE)</formula>
    </cfRule>
  </conditionalFormatting>
  <conditionalFormatting sqref="M7:M20">
    <cfRule type="expression" dxfId="459" priority="24">
      <formula>IF($K7&lt;$M7,TRUE)</formula>
    </cfRule>
  </conditionalFormatting>
  <conditionalFormatting sqref="O7:O20">
    <cfRule type="expression" dxfId="458" priority="27">
      <formula>IF($O7&gt;$Q7,TRUE)</formula>
    </cfRule>
  </conditionalFormatting>
  <conditionalFormatting sqref="Q7:Q20">
    <cfRule type="expression" dxfId="457" priority="28">
      <formula>IF($O7&lt;$Q7,TRUE)</formula>
    </cfRule>
  </conditionalFormatting>
  <conditionalFormatting sqref="S7:S20">
    <cfRule type="expression" dxfId="456" priority="31">
      <formula>IF($S7&gt;$U7,TRUE)</formula>
    </cfRule>
  </conditionalFormatting>
  <conditionalFormatting sqref="U7:U20">
    <cfRule type="expression" dxfId="455" priority="32">
      <formula>IF($S7&lt;$U7,TRUE)</formula>
    </cfRule>
  </conditionalFormatting>
  <conditionalFormatting sqref="G7:G20">
    <cfRule type="expression" dxfId="454" priority="19">
      <formula>IF($G7&gt;$I7,TRUE)</formula>
    </cfRule>
  </conditionalFormatting>
  <conditionalFormatting sqref="I7:I20">
    <cfRule type="expression" dxfId="453" priority="20">
      <formula>IF($G7&lt;$I7,TRUE)</formula>
    </cfRule>
  </conditionalFormatting>
  <conditionalFormatting sqref="F7:F20">
    <cfRule type="containsText" dxfId="452" priority="6" operator="containsText" text="vaba voor">
      <formula>NOT(ISERROR(SEARCH("vaba voor",F7)))</formula>
    </cfRule>
  </conditionalFormatting>
  <conditionalFormatting sqref="N7:N20">
    <cfRule type="containsText" dxfId="451" priority="4" operator="containsText" text="vaba voor">
      <formula>NOT(ISERROR(SEARCH("vaba voor",N7)))</formula>
    </cfRule>
  </conditionalFormatting>
  <conditionalFormatting sqref="R7:R20">
    <cfRule type="containsText" dxfId="450" priority="7" operator="containsText" text="vaba voor">
      <formula>NOT(ISERROR(SEARCH("vaba voor",R7)))</formula>
    </cfRule>
  </conditionalFormatting>
  <conditionalFormatting sqref="V7:V20">
    <cfRule type="containsText" dxfId="449" priority="3" operator="containsText" text="vaba voor">
      <formula>NOT(ISERROR(SEARCH("vaba voor",V7)))</formula>
    </cfRule>
  </conditionalFormatting>
  <conditionalFormatting sqref="J7:J20">
    <cfRule type="containsText" dxfId="448" priority="5" operator="containsText" text="vaba voor">
      <formula>NOT(ISERROR(SEARCH("vaba voor",J7)))</formula>
    </cfRule>
  </conditionalFormatting>
  <conditionalFormatting sqref="C7:F20">
    <cfRule type="expression" dxfId="447" priority="11">
      <formula>IF(AND(ISNUMBER($C7),$C7=$E7),TRUE)</formula>
    </cfRule>
    <cfRule type="expression" dxfId="446" priority="13">
      <formula>IF($C7&gt;$E7,TRUE)</formula>
    </cfRule>
    <cfRule type="expression" dxfId="445" priority="14">
      <formula>IF($C7&lt;$E7,TRUE)</formula>
    </cfRule>
  </conditionalFormatting>
  <conditionalFormatting sqref="G7:J20">
    <cfRule type="expression" dxfId="444" priority="12">
      <formula>IF(AND(ISNUMBER($G7),$G7=$I7),TRUE)</formula>
    </cfRule>
    <cfRule type="expression" dxfId="443" priority="17">
      <formula>IF($G7&gt;$I7,TRUE)</formula>
    </cfRule>
    <cfRule type="expression" dxfId="442" priority="18">
      <formula>IF($G7&lt;$I7,TRUE)</formula>
    </cfRule>
  </conditionalFormatting>
  <conditionalFormatting sqref="K7:N20">
    <cfRule type="expression" dxfId="441" priority="10">
      <formula>IF(AND(ISNUMBER($K7),$K7=$M7),TRUE)</formula>
    </cfRule>
    <cfRule type="expression" dxfId="440" priority="21">
      <formula>IF($K7&gt;$M7,TRUE)</formula>
    </cfRule>
    <cfRule type="expression" dxfId="439" priority="22">
      <formula>IF($K7&lt;$M7,TRUE)</formula>
    </cfRule>
  </conditionalFormatting>
  <conditionalFormatting sqref="O7:R20">
    <cfRule type="expression" dxfId="438" priority="9">
      <formula>IF(AND(ISNUMBER($O7),$O7=$Q7),TRUE)</formula>
    </cfRule>
    <cfRule type="expression" dxfId="437" priority="25">
      <formula>IF($O7&gt;$Q7,TRUE)</formula>
    </cfRule>
    <cfRule type="expression" dxfId="436" priority="26">
      <formula>IF($O7&lt;$Q7,TRUE)</formula>
    </cfRule>
  </conditionalFormatting>
  <conditionalFormatting sqref="S7:V20">
    <cfRule type="expression" dxfId="435" priority="8">
      <formula>IF(AND(ISNUMBER($S7),$S7=$U7),TRUE)</formula>
    </cfRule>
    <cfRule type="expression" dxfId="434" priority="29">
      <formula>IF($S7&gt;$U7,TRUE)</formula>
    </cfRule>
    <cfRule type="expression" dxfId="433" priority="30">
      <formula>IF($S7&lt;$U7,TRUE)</formula>
    </cfRule>
  </conditionalFormatting>
  <conditionalFormatting sqref="C7:C20 G7:G20 K7:K20 O7:O20 S7:S20">
    <cfRule type="expression" dxfId="432" priority="1">
      <formula>AND(C7=0,E7=13)</formula>
    </cfRule>
  </conditionalFormatting>
  <conditionalFormatting sqref="E7:E20 I7:I20 M7:M20 Q7:Q20 U7:U20">
    <cfRule type="expression" dxfId="431" priority="2">
      <formula>AND(E7=0,C7=13)</formula>
    </cfRule>
  </conditionalFormatting>
  <pageMargins left="0.39370078740157483" right="0.39370078740157483" top="0.78740157480314965" bottom="0.39370078740157483" header="0.78740157480314965" footer="0"/>
  <pageSetup paperSize="9" fitToHeight="0" orientation="landscape" verticalDpi="1200" r:id="rId1"/>
  <headerFooter>
    <oddHeader>&amp;R&amp;P. leht &amp;N&amp; -st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P317"/>
  <sheetViews>
    <sheetView showGridLines="0" showRowColHeaders="0" workbookViewId="0">
      <pane ySplit="1" topLeftCell="A2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1" width="3.28515625" style="377" customWidth="1"/>
    <col min="2" max="2" width="31.5703125" style="377" bestFit="1" customWidth="1"/>
    <col min="3" max="3" width="4.7109375" style="377" customWidth="1"/>
    <col min="4" max="4" width="1.140625" style="377" customWidth="1"/>
    <col min="5" max="5" width="2.7109375" style="377" customWidth="1"/>
    <col min="6" max="6" width="9.140625" style="377"/>
    <col min="7" max="7" width="2.7109375" style="377" customWidth="1"/>
    <col min="8" max="8" width="1.140625" style="377" customWidth="1"/>
    <col min="9" max="9" width="2.7109375" style="377" customWidth="1"/>
    <col min="10" max="10" width="9.140625" style="377"/>
    <col min="11" max="11" width="2.7109375" style="377" customWidth="1"/>
    <col min="12" max="12" width="1.140625" style="377" customWidth="1"/>
    <col min="13" max="13" width="2.7109375" style="377" customWidth="1"/>
    <col min="14" max="14" width="9.140625" style="377"/>
    <col min="15" max="15" width="2.7109375" style="377" customWidth="1"/>
    <col min="16" max="16" width="1.140625" style="377" customWidth="1"/>
    <col min="17" max="17" width="2.7109375" style="377" customWidth="1"/>
    <col min="18" max="18" width="9.140625" style="377"/>
    <col min="19" max="19" width="2.7109375" style="377" hidden="1" customWidth="1"/>
    <col min="20" max="20" width="1.140625" style="377" hidden="1" customWidth="1"/>
    <col min="21" max="21" width="2.7109375" style="377" hidden="1" customWidth="1"/>
    <col min="22" max="22" width="0" style="377" hidden="1" customWidth="1"/>
    <col min="23" max="23" width="5.7109375" style="377" customWidth="1"/>
    <col min="24" max="24" width="5.5703125" style="377" customWidth="1"/>
    <col min="25" max="25" width="7.42578125" style="377" customWidth="1"/>
    <col min="26" max="26" width="2.7109375" style="377" customWidth="1"/>
    <col min="27" max="27" width="1.140625" style="377" customWidth="1"/>
    <col min="28" max="28" width="2.7109375" style="377" customWidth="1"/>
    <col min="29" max="29" width="4.7109375" style="377" customWidth="1"/>
    <col min="30" max="31" width="9.140625" style="377" hidden="1" customWidth="1"/>
    <col min="32" max="32" width="17" style="377" hidden="1" customWidth="1"/>
    <col min="33" max="33" width="9.140625" style="377" hidden="1" customWidth="1"/>
    <col min="34" max="34" width="25.140625" style="377" hidden="1" customWidth="1"/>
    <col min="35" max="35" width="9.140625" style="377" hidden="1" customWidth="1"/>
    <col min="36" max="36" width="17.28515625" style="377" hidden="1" customWidth="1"/>
    <col min="37" max="37" width="9.140625" style="377" hidden="1" customWidth="1"/>
    <col min="38" max="38" width="13.85546875" style="377" hidden="1" customWidth="1"/>
    <col min="39" max="39" width="9.140625" style="377" hidden="1" customWidth="1"/>
    <col min="40" max="40" width="17.28515625" style="377" hidden="1" customWidth="1"/>
    <col min="41" max="41" width="9.140625" style="377" hidden="1" customWidth="1"/>
    <col min="42" max="42" width="13.85546875" style="377" hidden="1" customWidth="1"/>
    <col min="43" max="16384" width="9.140625" style="377"/>
  </cols>
  <sheetData>
    <row r="1" spans="1:42" x14ac:dyDescent="0.2">
      <c r="A1" s="376" t="str">
        <f>UPPER((Kalend!E22)&amp;" - "&amp;(Kalend!C22))&amp;" - "&amp;LOWER(Kalend!D22)&amp;" - "&amp;(Kalend!A22)&amp;" kell "&amp;(Kalend!B22)&amp;" - "&amp;(Kalend!F22)</f>
        <v>V5 - VOKA X KV 5. ETAPP - duo - K, 05.07.2023 kell 18:00 - Voka staadion</v>
      </c>
      <c r="O1" s="378"/>
      <c r="P1" s="378"/>
      <c r="Q1" s="379"/>
      <c r="R1" s="379"/>
      <c r="S1" s="379"/>
      <c r="T1" s="380"/>
      <c r="U1" s="380"/>
      <c r="V1" s="380"/>
      <c r="W1" s="378"/>
      <c r="X1" s="381"/>
      <c r="Y1" s="378"/>
      <c r="Z1" s="378"/>
      <c r="AD1" s="382" t="s">
        <v>133</v>
      </c>
      <c r="AE1" s="383"/>
      <c r="AF1" s="383"/>
      <c r="AG1" s="383"/>
      <c r="AH1" s="383"/>
      <c r="AI1" s="383"/>
      <c r="AJ1" s="383"/>
      <c r="AK1" s="383"/>
      <c r="AL1" s="383"/>
      <c r="AM1" s="383"/>
      <c r="AN1" s="383"/>
      <c r="AO1" s="384"/>
      <c r="AP1" s="384"/>
    </row>
    <row r="2" spans="1:42" x14ac:dyDescent="0.2">
      <c r="A2" s="385"/>
      <c r="F2" s="378"/>
      <c r="L2" s="386"/>
      <c r="M2" s="386"/>
      <c r="N2" s="386"/>
      <c r="O2" s="378"/>
      <c r="P2" s="378"/>
      <c r="Q2" s="378"/>
      <c r="R2" s="387" t="s">
        <v>292</v>
      </c>
      <c r="S2" s="378"/>
      <c r="T2" s="386"/>
      <c r="U2" s="386"/>
      <c r="V2" s="386"/>
      <c r="W2" s="388">
        <v>1</v>
      </c>
      <c r="X2" s="389" t="s">
        <v>293</v>
      </c>
      <c r="Y2" s="378"/>
      <c r="Z2" s="378"/>
      <c r="AA2" s="378"/>
      <c r="AB2" s="378"/>
      <c r="AE2" s="378"/>
      <c r="AG2" s="378"/>
      <c r="AH2" s="378"/>
      <c r="AI2" s="378"/>
      <c r="AJ2" s="378"/>
      <c r="AK2" s="378"/>
      <c r="AL2" s="378"/>
      <c r="AM2" s="378"/>
      <c r="AN2" s="378"/>
    </row>
    <row r="3" spans="1:42" x14ac:dyDescent="0.2">
      <c r="A3" s="385"/>
      <c r="F3" s="378"/>
      <c r="L3" s="378"/>
      <c r="M3" s="378"/>
      <c r="N3" s="378"/>
      <c r="O3" s="378"/>
      <c r="P3" s="378"/>
      <c r="Q3" s="378"/>
      <c r="R3" s="390" t="s">
        <v>294</v>
      </c>
      <c r="S3" s="378"/>
      <c r="T3" s="378"/>
      <c r="U3" s="378"/>
      <c r="V3" s="378"/>
      <c r="W3" s="388">
        <v>0.5</v>
      </c>
      <c r="X3" s="389" t="s">
        <v>293</v>
      </c>
      <c r="Y3" s="378"/>
      <c r="Z3" s="378"/>
      <c r="AA3" s="378"/>
      <c r="AB3" s="378"/>
      <c r="AE3" s="386"/>
      <c r="AF3" s="386"/>
      <c r="AG3" s="386"/>
      <c r="AH3" s="391"/>
      <c r="AI3" s="386"/>
      <c r="AJ3" s="386"/>
      <c r="AK3" s="386"/>
      <c r="AL3" s="386"/>
      <c r="AM3" s="386"/>
      <c r="AN3" s="386"/>
      <c r="AO3" s="386"/>
      <c r="AP3" s="386"/>
    </row>
    <row r="4" spans="1:42" x14ac:dyDescent="0.2">
      <c r="F4" s="378"/>
      <c r="L4" s="378"/>
      <c r="M4" s="378"/>
      <c r="N4" s="378"/>
      <c r="O4" s="378"/>
      <c r="P4" s="378"/>
      <c r="Q4" s="378"/>
      <c r="R4" s="392" t="s">
        <v>295</v>
      </c>
      <c r="S4" s="378"/>
      <c r="T4" s="378"/>
      <c r="U4" s="378"/>
      <c r="V4" s="378"/>
      <c r="W4" s="388">
        <v>0</v>
      </c>
      <c r="X4" s="389" t="s">
        <v>293</v>
      </c>
      <c r="Y4" s="378"/>
      <c r="Z4" s="378"/>
      <c r="AA4" s="378"/>
      <c r="AB4" s="378"/>
    </row>
    <row r="5" spans="1:42" x14ac:dyDescent="0.2">
      <c r="F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W5" s="378"/>
      <c r="X5" s="378"/>
      <c r="Y5" s="378"/>
      <c r="Z5" s="378"/>
      <c r="AA5" s="378"/>
      <c r="AB5" s="393" t="s">
        <v>296</v>
      </c>
      <c r="AD5" s="394" t="s">
        <v>297</v>
      </c>
    </row>
    <row r="6" spans="1:42" x14ac:dyDescent="0.2">
      <c r="A6" s="395" t="s">
        <v>157</v>
      </c>
      <c r="B6" s="395" t="s">
        <v>156</v>
      </c>
      <c r="C6" s="396" t="s">
        <v>298</v>
      </c>
      <c r="D6" s="397"/>
      <c r="E6" s="397"/>
      <c r="F6" s="398"/>
      <c r="G6" s="396" t="s">
        <v>299</v>
      </c>
      <c r="H6" s="397"/>
      <c r="I6" s="397"/>
      <c r="J6" s="398"/>
      <c r="K6" s="396" t="s">
        <v>300</v>
      </c>
      <c r="L6" s="397"/>
      <c r="M6" s="397"/>
      <c r="N6" s="398"/>
      <c r="O6" s="396" t="s">
        <v>301</v>
      </c>
      <c r="P6" s="397"/>
      <c r="Q6" s="397"/>
      <c r="R6" s="398"/>
      <c r="S6" s="396" t="s">
        <v>302</v>
      </c>
      <c r="T6" s="397"/>
      <c r="U6" s="397"/>
      <c r="V6" s="398"/>
      <c r="W6" s="395" t="s">
        <v>142</v>
      </c>
      <c r="X6" s="399" t="s">
        <v>303</v>
      </c>
      <c r="Y6" s="395" t="s">
        <v>304</v>
      </c>
      <c r="Z6" s="399"/>
      <c r="AA6" s="400" t="s">
        <v>305</v>
      </c>
      <c r="AB6" s="401"/>
      <c r="AC6" s="402" t="s">
        <v>306</v>
      </c>
      <c r="AD6" s="403" t="s">
        <v>261</v>
      </c>
      <c r="AE6" s="404"/>
      <c r="AF6" s="404" t="s">
        <v>307</v>
      </c>
      <c r="AG6" s="404"/>
      <c r="AH6" s="405" t="s">
        <v>308</v>
      </c>
      <c r="AI6" s="404"/>
      <c r="AJ6" s="404" t="s">
        <v>309</v>
      </c>
      <c r="AK6" s="406"/>
      <c r="AL6" s="404" t="s">
        <v>310</v>
      </c>
      <c r="AM6" s="406"/>
      <c r="AN6" s="406" t="s">
        <v>311</v>
      </c>
      <c r="AO6" s="407"/>
      <c r="AP6" s="406" t="s">
        <v>312</v>
      </c>
    </row>
    <row r="7" spans="1:42" x14ac:dyDescent="0.2">
      <c r="A7" s="408">
        <v>1</v>
      </c>
      <c r="B7" s="409" t="s">
        <v>404</v>
      </c>
      <c r="C7" s="410">
        <v>13</v>
      </c>
      <c r="D7" s="411" t="s">
        <v>313</v>
      </c>
      <c r="E7" s="411">
        <v>4</v>
      </c>
      <c r="F7" s="412" t="s">
        <v>440</v>
      </c>
      <c r="G7" s="410">
        <v>13</v>
      </c>
      <c r="H7" s="411" t="s">
        <v>313</v>
      </c>
      <c r="I7" s="411">
        <v>6</v>
      </c>
      <c r="J7" s="412" t="s">
        <v>324</v>
      </c>
      <c r="K7" s="410">
        <v>13</v>
      </c>
      <c r="L7" s="411" t="s">
        <v>313</v>
      </c>
      <c r="M7" s="411">
        <v>10</v>
      </c>
      <c r="N7" s="412" t="s">
        <v>420</v>
      </c>
      <c r="O7" s="410">
        <v>13</v>
      </c>
      <c r="P7" s="411" t="s">
        <v>313</v>
      </c>
      <c r="Q7" s="411">
        <v>9</v>
      </c>
      <c r="R7" s="412" t="s">
        <v>429</v>
      </c>
      <c r="S7" s="410"/>
      <c r="T7" s="411"/>
      <c r="U7" s="411"/>
      <c r="V7" s="412"/>
      <c r="W7" s="413">
        <f t="shared" ref="W7:W19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4</v>
      </c>
      <c r="X7" s="414">
        <v>16</v>
      </c>
      <c r="Y7" s="414">
        <v>78</v>
      </c>
      <c r="Z7" s="410">
        <f t="shared" ref="Z7:Z19" si="1">C7+G7+K7+O7+S7</f>
        <v>52</v>
      </c>
      <c r="AA7" s="411" t="s">
        <v>313</v>
      </c>
      <c r="AB7" s="415">
        <f t="shared" ref="AB7:AB19" si="2">E7+I7+M7+Q7+U7</f>
        <v>29</v>
      </c>
      <c r="AC7" s="416">
        <f t="shared" ref="AC7:AC19" si="3">Z7-AB7</f>
        <v>23</v>
      </c>
      <c r="AD7" s="417">
        <f t="shared" ref="AD7:AD10" si="4">SUM(AE7:AL7)</f>
        <v>212</v>
      </c>
      <c r="AE7" s="418">
        <f>IFERROR(INDEX(V!$R:$R,MATCH(AF7,V!$L:$L,0)),"")</f>
        <v>130</v>
      </c>
      <c r="AF7" s="419" t="str">
        <f t="shared" ref="AF7:AF24" si="5">IFERROR(LEFT($B7,(FIND(",",$B7,1)-1)),"")</f>
        <v>Kaspar Mänd</v>
      </c>
      <c r="AG7" s="418">
        <f>IFERROR(INDEX(V!$R:$R,MATCH(AH7,V!$L:$L,0)),"")</f>
        <v>82</v>
      </c>
      <c r="AH7" s="419" t="str">
        <f t="shared" ref="AH7:AH24" si="6">IFERROR(MID($B7,FIND(", ",$B7)+2,256),"")</f>
        <v>Matti Vinni</v>
      </c>
      <c r="AI7" s="418" t="str">
        <f>IFERROR(INDEX(V!$R:$R,MATCH(AJ7,V!$L:$L,0)),"")</f>
        <v/>
      </c>
      <c r="AJ7" s="419" t="str">
        <f t="shared" ref="AJ7:AJ24" si="7">IFERROR(MID($B7,FIND("^",SUBSTITUTE($B7,", ","^",1))+2,FIND("^",SUBSTITUTE($B7,", ","^",2))-FIND("^",SUBSTITUTE($B7,", ","^",1))-2),"")</f>
        <v/>
      </c>
      <c r="AK7" s="418" t="str">
        <f>IFERROR(INDEX(V!$R:$R,MATCH(AL7,V!$L:$L,0)),"")</f>
        <v/>
      </c>
      <c r="AL7" s="419" t="str">
        <f t="shared" ref="AL7:AL24" si="8">IFERROR(MID($B7,FIND(", ",$B7,FIND(", ",$B7,FIND(", ",$B7))+1)+2,30000),"")</f>
        <v/>
      </c>
      <c r="AM7" s="418" t="str">
        <f>IFERROR(INDEX(V!$R:$R,MATCH(AN7,V!$L:$L,0)),"")</f>
        <v/>
      </c>
      <c r="AN7" s="419" t="str">
        <f t="shared" ref="AN7:AN24" si="9">IFERROR(MID($B7,FIND(", ",$B7,FIND(", ",$B7)+1)+2,FIND(", ",$B7,FIND(", ",$B7,FIND(", ",$B7)+1)+1)-FIND(", ",$B7,FIND(", ",$B7)+1)-2),"")</f>
        <v/>
      </c>
      <c r="AO7" s="418" t="str">
        <f>IFERROR(INDEX(V!$R:$R,MATCH(AP7,V!$L:$L,0)),"")</f>
        <v/>
      </c>
      <c r="AP7" s="419" t="str">
        <f t="shared" ref="AP7:AP24" si="10">IFERROR(MID($B7,FIND(", ",$B7,FIND(", ",$B7,FIND(", ",$B7)+1)+1)+2,30000),"")</f>
        <v/>
      </c>
    </row>
    <row r="8" spans="1:42" x14ac:dyDescent="0.2">
      <c r="A8" s="408">
        <v>2</v>
      </c>
      <c r="B8" s="420" t="s">
        <v>429</v>
      </c>
      <c r="C8" s="410">
        <v>13</v>
      </c>
      <c r="D8" s="411" t="s">
        <v>313</v>
      </c>
      <c r="E8" s="411">
        <v>2</v>
      </c>
      <c r="F8" s="412" t="s">
        <v>428</v>
      </c>
      <c r="G8" s="410">
        <v>8</v>
      </c>
      <c r="H8" s="411" t="s">
        <v>313</v>
      </c>
      <c r="I8" s="411">
        <v>5</v>
      </c>
      <c r="J8" s="412" t="s">
        <v>322</v>
      </c>
      <c r="K8" s="410">
        <v>8</v>
      </c>
      <c r="L8" s="411" t="s">
        <v>313</v>
      </c>
      <c r="M8" s="411">
        <v>6</v>
      </c>
      <c r="N8" s="412" t="s">
        <v>436</v>
      </c>
      <c r="O8" s="410">
        <v>9</v>
      </c>
      <c r="P8" s="411" t="s">
        <v>313</v>
      </c>
      <c r="Q8" s="411">
        <v>13</v>
      </c>
      <c r="R8" s="412" t="s">
        <v>404</v>
      </c>
      <c r="S8" s="410"/>
      <c r="T8" s="411"/>
      <c r="U8" s="411"/>
      <c r="V8" s="412"/>
      <c r="W8" s="413">
        <f t="shared" si="0"/>
        <v>3</v>
      </c>
      <c r="X8" s="414">
        <v>20</v>
      </c>
      <c r="Y8" s="414">
        <v>62</v>
      </c>
      <c r="Z8" s="410">
        <f t="shared" si="1"/>
        <v>38</v>
      </c>
      <c r="AA8" s="411" t="s">
        <v>313</v>
      </c>
      <c r="AB8" s="415">
        <f t="shared" si="2"/>
        <v>26</v>
      </c>
      <c r="AC8" s="416">
        <f t="shared" si="3"/>
        <v>12</v>
      </c>
      <c r="AD8" s="417">
        <f t="shared" si="4"/>
        <v>340</v>
      </c>
      <c r="AE8" s="418">
        <f>IFERROR(INDEX(V!$R:$R,MATCH(AF8,V!$L:$L,0)),"")</f>
        <v>234</v>
      </c>
      <c r="AF8" s="419" t="str">
        <f t="shared" si="5"/>
        <v>Kenneth Muusikus</v>
      </c>
      <c r="AG8" s="418">
        <f>IFERROR(INDEX(V!$R:$R,MATCH(AH8,V!$L:$L,0)),"")</f>
        <v>106</v>
      </c>
      <c r="AH8" s="419" t="str">
        <f t="shared" si="6"/>
        <v>Viktoria Mets</v>
      </c>
      <c r="AI8" s="418" t="str">
        <f>IFERROR(INDEX(V!$R:$R,MATCH(AJ8,V!$L:$L,0)),"")</f>
        <v/>
      </c>
      <c r="AJ8" s="419" t="str">
        <f t="shared" si="7"/>
        <v/>
      </c>
      <c r="AK8" s="418" t="str">
        <f>IFERROR(INDEX(V!$R:$R,MATCH(AL8,V!$L:$L,0)),"")</f>
        <v/>
      </c>
      <c r="AL8" s="419" t="str">
        <f t="shared" si="8"/>
        <v/>
      </c>
      <c r="AM8" s="418" t="str">
        <f>IFERROR(INDEX(V!$R:$R,MATCH(AN8,V!$L:$L,0)),"")</f>
        <v/>
      </c>
      <c r="AN8" s="419" t="str">
        <f t="shared" si="9"/>
        <v/>
      </c>
      <c r="AO8" s="418" t="str">
        <f>IFERROR(INDEX(V!$R:$R,MATCH(AP8,V!$L:$L,0)),"")</f>
        <v/>
      </c>
      <c r="AP8" s="419" t="str">
        <f t="shared" si="10"/>
        <v/>
      </c>
    </row>
    <row r="9" spans="1:42" x14ac:dyDescent="0.2">
      <c r="A9" s="408">
        <v>3</v>
      </c>
      <c r="B9" s="421" t="s">
        <v>322</v>
      </c>
      <c r="C9" s="410">
        <v>13</v>
      </c>
      <c r="D9" s="411" t="s">
        <v>313</v>
      </c>
      <c r="E9" s="411">
        <v>2</v>
      </c>
      <c r="F9" s="412" t="s">
        <v>438</v>
      </c>
      <c r="G9" s="410">
        <v>5</v>
      </c>
      <c r="H9" s="411" t="s">
        <v>313</v>
      </c>
      <c r="I9" s="411">
        <v>8</v>
      </c>
      <c r="J9" s="412" t="s">
        <v>429</v>
      </c>
      <c r="K9" s="410">
        <v>13</v>
      </c>
      <c r="L9" s="411" t="s">
        <v>313</v>
      </c>
      <c r="M9" s="411">
        <v>2</v>
      </c>
      <c r="N9" s="412" t="s">
        <v>434</v>
      </c>
      <c r="O9" s="410">
        <v>13</v>
      </c>
      <c r="P9" s="411" t="s">
        <v>313</v>
      </c>
      <c r="Q9" s="411">
        <v>3</v>
      </c>
      <c r="R9" s="412" t="s">
        <v>420</v>
      </c>
      <c r="S9" s="410"/>
      <c r="T9" s="411"/>
      <c r="U9" s="411"/>
      <c r="V9" s="412"/>
      <c r="W9" s="413">
        <f t="shared" si="0"/>
        <v>3</v>
      </c>
      <c r="X9" s="414">
        <v>18</v>
      </c>
      <c r="Y9" s="414">
        <v>76</v>
      </c>
      <c r="Z9" s="410">
        <f t="shared" si="1"/>
        <v>44</v>
      </c>
      <c r="AA9" s="411" t="s">
        <v>313</v>
      </c>
      <c r="AB9" s="415">
        <f t="shared" si="2"/>
        <v>15</v>
      </c>
      <c r="AC9" s="416">
        <f t="shared" si="3"/>
        <v>29</v>
      </c>
      <c r="AD9" s="417">
        <f t="shared" si="4"/>
        <v>302</v>
      </c>
      <c r="AE9" s="418">
        <f>IFERROR(INDEX(V!$R:$R,MATCH(AF9,V!$L:$L,0)),"")</f>
        <v>152</v>
      </c>
      <c r="AF9" s="419" t="str">
        <f t="shared" si="5"/>
        <v>Andrei Grintšak</v>
      </c>
      <c r="AG9" s="418">
        <f>IFERROR(INDEX(V!$R:$R,MATCH(AH9,V!$L:$L,0)),"")</f>
        <v>150</v>
      </c>
      <c r="AH9" s="419" t="str">
        <f t="shared" si="6"/>
        <v>Enn Tokman</v>
      </c>
      <c r="AI9" s="418" t="str">
        <f>IFERROR(INDEX(V!$R:$R,MATCH(AJ9,V!$L:$L,0)),"")</f>
        <v/>
      </c>
      <c r="AJ9" s="419" t="str">
        <f t="shared" si="7"/>
        <v/>
      </c>
      <c r="AK9" s="418" t="str">
        <f>IFERROR(INDEX(V!$R:$R,MATCH(AL9,V!$L:$L,0)),"")</f>
        <v/>
      </c>
      <c r="AL9" s="419" t="str">
        <f t="shared" si="8"/>
        <v/>
      </c>
      <c r="AM9" s="418" t="str">
        <f>IFERROR(INDEX(V!$R:$R,MATCH(AN9,V!$L:$L,0)),"")</f>
        <v/>
      </c>
      <c r="AN9" s="419" t="str">
        <f t="shared" si="9"/>
        <v/>
      </c>
      <c r="AO9" s="418" t="str">
        <f>IFERROR(INDEX(V!$R:$R,MATCH(AP9,V!$L:$L,0)),"")</f>
        <v/>
      </c>
      <c r="AP9" s="419" t="str">
        <f t="shared" si="10"/>
        <v/>
      </c>
    </row>
    <row r="10" spans="1:42" x14ac:dyDescent="0.2">
      <c r="A10" s="408">
        <v>4</v>
      </c>
      <c r="B10" s="421" t="s">
        <v>434</v>
      </c>
      <c r="C10" s="410">
        <v>9</v>
      </c>
      <c r="D10" s="411" t="s">
        <v>313</v>
      </c>
      <c r="E10" s="411">
        <v>8</v>
      </c>
      <c r="F10" s="412" t="s">
        <v>320</v>
      </c>
      <c r="G10" s="410">
        <v>13</v>
      </c>
      <c r="H10" s="411" t="s">
        <v>313</v>
      </c>
      <c r="I10" s="411">
        <v>5</v>
      </c>
      <c r="J10" s="412" t="s">
        <v>406</v>
      </c>
      <c r="K10" s="410">
        <v>2</v>
      </c>
      <c r="L10" s="411" t="s">
        <v>313</v>
      </c>
      <c r="M10" s="411">
        <v>13</v>
      </c>
      <c r="N10" s="412" t="s">
        <v>322</v>
      </c>
      <c r="O10" s="410">
        <v>13</v>
      </c>
      <c r="P10" s="411" t="s">
        <v>313</v>
      </c>
      <c r="Q10" s="411">
        <v>9</v>
      </c>
      <c r="R10" s="412" t="s">
        <v>437</v>
      </c>
      <c r="S10" s="410"/>
      <c r="T10" s="411"/>
      <c r="U10" s="411"/>
      <c r="V10" s="412"/>
      <c r="W10" s="413">
        <f t="shared" si="0"/>
        <v>3</v>
      </c>
      <c r="X10" s="414">
        <v>18</v>
      </c>
      <c r="Y10" s="414">
        <v>66</v>
      </c>
      <c r="Z10" s="410">
        <f t="shared" si="1"/>
        <v>37</v>
      </c>
      <c r="AA10" s="411" t="s">
        <v>313</v>
      </c>
      <c r="AB10" s="415">
        <f t="shared" si="2"/>
        <v>35</v>
      </c>
      <c r="AC10" s="416">
        <f t="shared" si="3"/>
        <v>2</v>
      </c>
      <c r="AD10" s="417">
        <f t="shared" si="4"/>
        <v>256</v>
      </c>
      <c r="AE10" s="418">
        <f>IFERROR(INDEX(V!$R:$R,MATCH(AF10,V!$L:$L,0)),"")</f>
        <v>114</v>
      </c>
      <c r="AF10" s="419" t="str">
        <f t="shared" si="5"/>
        <v>Elmo Lageda</v>
      </c>
      <c r="AG10" s="418">
        <f>IFERROR(INDEX(V!$R:$R,MATCH(AH10,V!$L:$L,0)),"")</f>
        <v>142</v>
      </c>
      <c r="AH10" s="419" t="str">
        <f t="shared" si="6"/>
        <v>Olav Türk</v>
      </c>
      <c r="AI10" s="418" t="str">
        <f>IFERROR(INDEX(V!$R:$R,MATCH(AJ10,V!$L:$L,0)),"")</f>
        <v/>
      </c>
      <c r="AJ10" s="419" t="str">
        <f t="shared" si="7"/>
        <v/>
      </c>
      <c r="AK10" s="418" t="str">
        <f>IFERROR(INDEX(V!$R:$R,MATCH(AL10,V!$L:$L,0)),"")</f>
        <v/>
      </c>
      <c r="AL10" s="419" t="str">
        <f t="shared" si="8"/>
        <v/>
      </c>
      <c r="AM10" s="418" t="str">
        <f>IFERROR(INDEX(V!$R:$R,MATCH(AN10,V!$L:$L,0)),"")</f>
        <v/>
      </c>
      <c r="AN10" s="419" t="str">
        <f t="shared" si="9"/>
        <v/>
      </c>
      <c r="AO10" s="418" t="str">
        <f>IFERROR(INDEX(V!$R:$R,MATCH(AP10,V!$L:$L,0)),"")</f>
        <v/>
      </c>
      <c r="AP10" s="419" t="str">
        <f t="shared" si="10"/>
        <v/>
      </c>
    </row>
    <row r="11" spans="1:42" x14ac:dyDescent="0.2">
      <c r="A11" s="408">
        <v>5</v>
      </c>
      <c r="B11" s="420" t="s">
        <v>435</v>
      </c>
      <c r="C11" s="410">
        <v>13</v>
      </c>
      <c r="D11" s="411" t="s">
        <v>313</v>
      </c>
      <c r="E11" s="411">
        <v>6</v>
      </c>
      <c r="F11" s="412" t="s">
        <v>323</v>
      </c>
      <c r="G11" s="410">
        <v>7</v>
      </c>
      <c r="H11" s="411" t="s">
        <v>313</v>
      </c>
      <c r="I11" s="411">
        <v>13</v>
      </c>
      <c r="J11" s="412" t="s">
        <v>420</v>
      </c>
      <c r="K11" s="410">
        <v>13</v>
      </c>
      <c r="L11" s="411" t="s">
        <v>313</v>
      </c>
      <c r="M11" s="411">
        <v>12</v>
      </c>
      <c r="N11" s="412" t="s">
        <v>440</v>
      </c>
      <c r="O11" s="410">
        <v>13</v>
      </c>
      <c r="P11" s="411" t="s">
        <v>313</v>
      </c>
      <c r="Q11" s="411">
        <v>8</v>
      </c>
      <c r="R11" s="412" t="s">
        <v>436</v>
      </c>
      <c r="S11" s="410"/>
      <c r="T11" s="411"/>
      <c r="U11" s="411"/>
      <c r="V11" s="412"/>
      <c r="W11" s="413">
        <f t="shared" si="0"/>
        <v>3</v>
      </c>
      <c r="X11" s="414">
        <v>16</v>
      </c>
      <c r="Y11" s="414">
        <v>72</v>
      </c>
      <c r="Z11" s="410">
        <f t="shared" si="1"/>
        <v>46</v>
      </c>
      <c r="AA11" s="411" t="s">
        <v>313</v>
      </c>
      <c r="AB11" s="415">
        <f t="shared" si="2"/>
        <v>39</v>
      </c>
      <c r="AC11" s="416">
        <f t="shared" si="3"/>
        <v>7</v>
      </c>
      <c r="AD11" s="417">
        <f t="shared" ref="AD11:AD13" si="11">SUM(AE11:AL11)</f>
        <v>206</v>
      </c>
      <c r="AE11" s="418">
        <f>IFERROR(INDEX(V!$R:$R,MATCH(AF11,V!$L:$L,0)),"")</f>
        <v>76</v>
      </c>
      <c r="AF11" s="419" t="str">
        <f t="shared" si="5"/>
        <v>Oliver Ojasalu</v>
      </c>
      <c r="AG11" s="418">
        <f>IFERROR(INDEX(V!$R:$R,MATCH(AH11,V!$L:$L,0)),"")</f>
        <v>130</v>
      </c>
      <c r="AH11" s="419" t="str">
        <f t="shared" si="6"/>
        <v>Tõnis Neiland</v>
      </c>
      <c r="AI11" s="418" t="str">
        <f>IFERROR(INDEX(V!$R:$R,MATCH(AJ11,V!$L:$L,0)),"")</f>
        <v/>
      </c>
      <c r="AJ11" s="419" t="str">
        <f t="shared" si="7"/>
        <v/>
      </c>
      <c r="AK11" s="418" t="str">
        <f>IFERROR(INDEX(V!$R:$R,MATCH(AL11,V!$L:$L,0)),"")</f>
        <v/>
      </c>
      <c r="AL11" s="419" t="str">
        <f t="shared" si="8"/>
        <v/>
      </c>
      <c r="AM11" s="418" t="str">
        <f>IFERROR(INDEX(V!$R:$R,MATCH(AN11,V!$L:$L,0)),"")</f>
        <v/>
      </c>
      <c r="AN11" s="419" t="str">
        <f t="shared" si="9"/>
        <v/>
      </c>
      <c r="AO11" s="418" t="str">
        <f>IFERROR(INDEX(V!$R:$R,MATCH(AP11,V!$L:$L,0)),"")</f>
        <v/>
      </c>
      <c r="AP11" s="419" t="str">
        <f t="shared" si="10"/>
        <v/>
      </c>
    </row>
    <row r="12" spans="1:42" x14ac:dyDescent="0.2">
      <c r="A12" s="408">
        <v>6</v>
      </c>
      <c r="B12" s="421" t="s">
        <v>320</v>
      </c>
      <c r="C12" s="410">
        <v>8</v>
      </c>
      <c r="D12" s="411" t="s">
        <v>313</v>
      </c>
      <c r="E12" s="411">
        <v>9</v>
      </c>
      <c r="F12" s="412" t="s">
        <v>434</v>
      </c>
      <c r="G12" s="410">
        <v>13</v>
      </c>
      <c r="H12" s="411" t="s">
        <v>313</v>
      </c>
      <c r="I12" s="411">
        <v>5</v>
      </c>
      <c r="J12" s="412" t="s">
        <v>386</v>
      </c>
      <c r="K12" s="410">
        <v>13</v>
      </c>
      <c r="L12" s="411" t="s">
        <v>313</v>
      </c>
      <c r="M12" s="411">
        <v>7</v>
      </c>
      <c r="N12" s="412" t="s">
        <v>324</v>
      </c>
      <c r="O12" s="410">
        <v>13</v>
      </c>
      <c r="P12" s="411" t="s">
        <v>313</v>
      </c>
      <c r="Q12" s="411">
        <v>1</v>
      </c>
      <c r="R12" s="412" t="s">
        <v>323</v>
      </c>
      <c r="S12" s="410"/>
      <c r="T12" s="411"/>
      <c r="U12" s="411"/>
      <c r="V12" s="412"/>
      <c r="W12" s="413">
        <f t="shared" si="0"/>
        <v>3</v>
      </c>
      <c r="X12" s="414">
        <v>16</v>
      </c>
      <c r="Y12" s="414">
        <v>62</v>
      </c>
      <c r="Z12" s="410">
        <f t="shared" si="1"/>
        <v>47</v>
      </c>
      <c r="AA12" s="411" t="s">
        <v>313</v>
      </c>
      <c r="AB12" s="415">
        <f t="shared" si="2"/>
        <v>22</v>
      </c>
      <c r="AC12" s="416">
        <f t="shared" si="3"/>
        <v>25</v>
      </c>
      <c r="AD12" s="417">
        <f t="shared" si="11"/>
        <v>182</v>
      </c>
      <c r="AE12" s="418">
        <f>IFERROR(INDEX(V!$R:$R,MATCH(AF12,V!$L:$L,0)),"")</f>
        <v>132</v>
      </c>
      <c r="AF12" s="419" t="str">
        <f t="shared" si="5"/>
        <v>Ivar Viljaste</v>
      </c>
      <c r="AG12" s="418">
        <f>IFERROR(INDEX(V!$R:$R,MATCH(AH12,V!$L:$L,0)),"")</f>
        <v>50</v>
      </c>
      <c r="AH12" s="419" t="str">
        <f t="shared" si="6"/>
        <v>Kristo Viljaste</v>
      </c>
      <c r="AI12" s="418" t="str">
        <f>IFERROR(INDEX(V!$R:$R,MATCH(AJ12,V!$L:$L,0)),"")</f>
        <v/>
      </c>
      <c r="AJ12" s="419" t="str">
        <f t="shared" si="7"/>
        <v/>
      </c>
      <c r="AK12" s="418" t="str">
        <f>IFERROR(INDEX(V!$R:$R,MATCH(AL12,V!$L:$L,0)),"")</f>
        <v/>
      </c>
      <c r="AL12" s="419" t="str">
        <f t="shared" si="8"/>
        <v/>
      </c>
      <c r="AM12" s="418" t="str">
        <f>IFERROR(INDEX(V!$R:$R,MATCH(AN12,V!$L:$L,0)),"")</f>
        <v/>
      </c>
      <c r="AN12" s="419" t="str">
        <f t="shared" si="9"/>
        <v/>
      </c>
      <c r="AO12" s="418" t="str">
        <f>IFERROR(INDEX(V!$R:$R,MATCH(AP12,V!$L:$L,0)),"")</f>
        <v/>
      </c>
      <c r="AP12" s="419" t="str">
        <f t="shared" si="10"/>
        <v/>
      </c>
    </row>
    <row r="13" spans="1:42" x14ac:dyDescent="0.2">
      <c r="A13" s="408">
        <v>7</v>
      </c>
      <c r="B13" s="422" t="s">
        <v>420</v>
      </c>
      <c r="C13" s="410">
        <v>13</v>
      </c>
      <c r="D13" s="411" t="s">
        <v>313</v>
      </c>
      <c r="E13" s="411">
        <v>5</v>
      </c>
      <c r="F13" s="412" t="s">
        <v>425</v>
      </c>
      <c r="G13" s="410">
        <v>13</v>
      </c>
      <c r="H13" s="411" t="s">
        <v>313</v>
      </c>
      <c r="I13" s="411">
        <v>7</v>
      </c>
      <c r="J13" s="412" t="s">
        <v>435</v>
      </c>
      <c r="K13" s="410">
        <v>10</v>
      </c>
      <c r="L13" s="411" t="s">
        <v>313</v>
      </c>
      <c r="M13" s="411">
        <v>13</v>
      </c>
      <c r="N13" s="412" t="s">
        <v>404</v>
      </c>
      <c r="O13" s="410">
        <v>3</v>
      </c>
      <c r="P13" s="411" t="s">
        <v>313</v>
      </c>
      <c r="Q13" s="411">
        <v>13</v>
      </c>
      <c r="R13" s="412" t="s">
        <v>322</v>
      </c>
      <c r="S13" s="410"/>
      <c r="T13" s="411"/>
      <c r="U13" s="411"/>
      <c r="V13" s="412"/>
      <c r="W13" s="413">
        <f t="shared" si="0"/>
        <v>2</v>
      </c>
      <c r="X13" s="414">
        <v>22</v>
      </c>
      <c r="Y13" s="414">
        <v>62</v>
      </c>
      <c r="Z13" s="410">
        <f t="shared" si="1"/>
        <v>39</v>
      </c>
      <c r="AA13" s="411" t="s">
        <v>313</v>
      </c>
      <c r="AB13" s="415">
        <f t="shared" si="2"/>
        <v>38</v>
      </c>
      <c r="AC13" s="416">
        <f t="shared" si="3"/>
        <v>1</v>
      </c>
      <c r="AD13" s="417">
        <f t="shared" si="11"/>
        <v>222</v>
      </c>
      <c r="AE13" s="418">
        <f>IFERROR(INDEX(V!$R:$R,MATCH(AF13,V!$L:$L,0)),"")</f>
        <v>94</v>
      </c>
      <c r="AF13" s="419" t="str">
        <f t="shared" si="5"/>
        <v>Johannes Neiland</v>
      </c>
      <c r="AG13" s="418">
        <f>IFERROR(INDEX(V!$R:$R,MATCH(AH13,V!$L:$L,0)),"")</f>
        <v>128</v>
      </c>
      <c r="AH13" s="419" t="str">
        <f t="shared" si="6"/>
        <v>Urmas Randlaine</v>
      </c>
      <c r="AI13" s="418" t="str">
        <f>IFERROR(INDEX(V!$R:$R,MATCH(AJ13,V!$L:$L,0)),"")</f>
        <v/>
      </c>
      <c r="AJ13" s="419" t="str">
        <f t="shared" si="7"/>
        <v/>
      </c>
      <c r="AK13" s="418" t="str">
        <f>IFERROR(INDEX(V!$R:$R,MATCH(AL13,V!$L:$L,0)),"")</f>
        <v/>
      </c>
      <c r="AL13" s="419" t="str">
        <f t="shared" si="8"/>
        <v/>
      </c>
      <c r="AM13" s="418" t="str">
        <f>IFERROR(INDEX(V!$R:$R,MATCH(AN13,V!$L:$L,0)),"")</f>
        <v/>
      </c>
      <c r="AN13" s="419" t="str">
        <f t="shared" si="9"/>
        <v/>
      </c>
      <c r="AO13" s="418" t="str">
        <f>IFERROR(INDEX(V!$R:$R,MATCH(AP13,V!$L:$L,0)),"")</f>
        <v/>
      </c>
      <c r="AP13" s="419" t="str">
        <f t="shared" si="10"/>
        <v/>
      </c>
    </row>
    <row r="14" spans="1:42" x14ac:dyDescent="0.2">
      <c r="A14" s="408">
        <v>8</v>
      </c>
      <c r="B14" s="422" t="s">
        <v>436</v>
      </c>
      <c r="C14" s="410">
        <v>13</v>
      </c>
      <c r="D14" s="411" t="s">
        <v>313</v>
      </c>
      <c r="E14" s="411">
        <v>10</v>
      </c>
      <c r="F14" s="412" t="s">
        <v>406</v>
      </c>
      <c r="G14" s="410">
        <v>13</v>
      </c>
      <c r="H14" s="411" t="s">
        <v>313</v>
      </c>
      <c r="I14" s="411">
        <v>7</v>
      </c>
      <c r="J14" s="412" t="s">
        <v>437</v>
      </c>
      <c r="K14" s="410">
        <v>6</v>
      </c>
      <c r="L14" s="411" t="s">
        <v>313</v>
      </c>
      <c r="M14" s="411">
        <v>8</v>
      </c>
      <c r="N14" s="412" t="s">
        <v>429</v>
      </c>
      <c r="O14" s="410">
        <v>8</v>
      </c>
      <c r="P14" s="411" t="s">
        <v>313</v>
      </c>
      <c r="Q14" s="411">
        <v>13</v>
      </c>
      <c r="R14" s="412" t="s">
        <v>435</v>
      </c>
      <c r="S14" s="410"/>
      <c r="T14" s="411"/>
      <c r="U14" s="411"/>
      <c r="V14" s="412"/>
      <c r="W14" s="413">
        <f t="shared" si="0"/>
        <v>2</v>
      </c>
      <c r="X14" s="414">
        <v>18</v>
      </c>
      <c r="Y14" s="414">
        <v>68</v>
      </c>
      <c r="Z14" s="410">
        <f t="shared" si="1"/>
        <v>40</v>
      </c>
      <c r="AA14" s="411" t="s">
        <v>313</v>
      </c>
      <c r="AB14" s="415">
        <f t="shared" si="2"/>
        <v>38</v>
      </c>
      <c r="AC14" s="416">
        <f t="shared" si="3"/>
        <v>2</v>
      </c>
      <c r="AD14" s="417">
        <f t="shared" ref="AD14:AD15" si="12">SUM(AE14:AL14)</f>
        <v>146</v>
      </c>
      <c r="AE14" s="418">
        <f>IFERROR(INDEX(V!$R:$R,MATCH(AF14,V!$L:$L,0)),"")</f>
        <v>22</v>
      </c>
      <c r="AF14" s="419" t="str">
        <f t="shared" si="5"/>
        <v>Emil Murzajev</v>
      </c>
      <c r="AG14" s="418">
        <f>IFERROR(INDEX(V!$R:$R,MATCH(AH14,V!$L:$L,0)),"")</f>
        <v>124</v>
      </c>
      <c r="AH14" s="419" t="str">
        <f t="shared" si="6"/>
        <v>Viktor Švarõgin</v>
      </c>
      <c r="AI14" s="418" t="str">
        <f>IFERROR(INDEX(V!$R:$R,MATCH(AJ14,V!$L:$L,0)),"")</f>
        <v/>
      </c>
      <c r="AJ14" s="419" t="str">
        <f t="shared" si="7"/>
        <v/>
      </c>
      <c r="AK14" s="418" t="str">
        <f>IFERROR(INDEX(V!$R:$R,MATCH(AL14,V!$L:$L,0)),"")</f>
        <v/>
      </c>
      <c r="AL14" s="419" t="str">
        <f t="shared" si="8"/>
        <v/>
      </c>
      <c r="AM14" s="418" t="str">
        <f>IFERROR(INDEX(V!$R:$R,MATCH(AN14,V!$L:$L,0)),"")</f>
        <v/>
      </c>
      <c r="AN14" s="419" t="str">
        <f t="shared" si="9"/>
        <v/>
      </c>
      <c r="AO14" s="418" t="str">
        <f>IFERROR(INDEX(V!$R:$R,MATCH(AP14,V!$L:$L,0)),"")</f>
        <v/>
      </c>
      <c r="AP14" s="419" t="str">
        <f t="shared" si="10"/>
        <v/>
      </c>
    </row>
    <row r="15" spans="1:42" x14ac:dyDescent="0.2">
      <c r="A15" s="408">
        <v>9</v>
      </c>
      <c r="B15" s="421" t="s">
        <v>440</v>
      </c>
      <c r="C15" s="410">
        <v>4</v>
      </c>
      <c r="D15" s="411" t="s">
        <v>313</v>
      </c>
      <c r="E15" s="411">
        <v>13</v>
      </c>
      <c r="F15" s="412" t="s">
        <v>404</v>
      </c>
      <c r="G15" s="410">
        <v>13</v>
      </c>
      <c r="H15" s="411" t="s">
        <v>313</v>
      </c>
      <c r="I15" s="411">
        <v>3</v>
      </c>
      <c r="J15" s="412" t="s">
        <v>425</v>
      </c>
      <c r="K15" s="410">
        <v>12</v>
      </c>
      <c r="L15" s="411" t="s">
        <v>313</v>
      </c>
      <c r="M15" s="411">
        <v>13</v>
      </c>
      <c r="N15" s="412" t="s">
        <v>435</v>
      </c>
      <c r="O15" s="410">
        <v>13</v>
      </c>
      <c r="P15" s="411" t="s">
        <v>313</v>
      </c>
      <c r="Q15" s="411">
        <v>6</v>
      </c>
      <c r="R15" s="412" t="s">
        <v>324</v>
      </c>
      <c r="S15" s="410"/>
      <c r="T15" s="411"/>
      <c r="U15" s="411"/>
      <c r="V15" s="412"/>
      <c r="W15" s="413">
        <f t="shared" si="0"/>
        <v>2</v>
      </c>
      <c r="X15" s="414">
        <v>18</v>
      </c>
      <c r="Y15" s="414">
        <v>62</v>
      </c>
      <c r="Z15" s="410">
        <f t="shared" si="1"/>
        <v>42</v>
      </c>
      <c r="AA15" s="411" t="s">
        <v>313</v>
      </c>
      <c r="AB15" s="415">
        <f t="shared" si="2"/>
        <v>35</v>
      </c>
      <c r="AC15" s="416">
        <f t="shared" si="3"/>
        <v>7</v>
      </c>
      <c r="AD15" s="417">
        <f t="shared" si="12"/>
        <v>194</v>
      </c>
      <c r="AE15" s="418">
        <f>IFERROR(INDEX(V!$R:$R,MATCH(AF15,V!$L:$L,0)),"")</f>
        <v>156</v>
      </c>
      <c r="AF15" s="419" t="str">
        <f t="shared" si="5"/>
        <v>Aleksander Korikov</v>
      </c>
      <c r="AG15" s="418">
        <f>IFERROR(INDEX(V!$R:$R,MATCH(AH15,V!$L:$L,0)),"")</f>
        <v>38</v>
      </c>
      <c r="AH15" s="419" t="str">
        <f t="shared" si="6"/>
        <v>Jevgeni Korikov</v>
      </c>
      <c r="AI15" s="418" t="str">
        <f>IFERROR(INDEX(V!$R:$R,MATCH(AJ15,V!$L:$L,0)),"")</f>
        <v/>
      </c>
      <c r="AJ15" s="419" t="str">
        <f t="shared" si="7"/>
        <v/>
      </c>
      <c r="AK15" s="418" t="str">
        <f>IFERROR(INDEX(V!$R:$R,MATCH(AL15,V!$L:$L,0)),"")</f>
        <v/>
      </c>
      <c r="AL15" s="419" t="str">
        <f t="shared" si="8"/>
        <v/>
      </c>
      <c r="AM15" s="418" t="str">
        <f>IFERROR(INDEX(V!$R:$R,MATCH(AN15,V!$L:$L,0)),"")</f>
        <v/>
      </c>
      <c r="AN15" s="419" t="str">
        <f t="shared" si="9"/>
        <v/>
      </c>
      <c r="AO15" s="418" t="str">
        <f>IFERROR(INDEX(V!$R:$R,MATCH(AP15,V!$L:$L,0)),"")</f>
        <v/>
      </c>
      <c r="AP15" s="419" t="str">
        <f t="shared" si="10"/>
        <v/>
      </c>
    </row>
    <row r="16" spans="1:42" x14ac:dyDescent="0.2">
      <c r="A16" s="408">
        <v>10</v>
      </c>
      <c r="B16" s="422" t="s">
        <v>437</v>
      </c>
      <c r="C16" s="410">
        <v>13</v>
      </c>
      <c r="D16" s="411" t="s">
        <v>313</v>
      </c>
      <c r="E16" s="411">
        <v>7</v>
      </c>
      <c r="F16" s="412" t="s">
        <v>386</v>
      </c>
      <c r="G16" s="410">
        <v>7</v>
      </c>
      <c r="H16" s="411" t="s">
        <v>313</v>
      </c>
      <c r="I16" s="411">
        <v>13</v>
      </c>
      <c r="J16" s="412" t="s">
        <v>436</v>
      </c>
      <c r="K16" s="410">
        <v>13</v>
      </c>
      <c r="L16" s="411" t="s">
        <v>313</v>
      </c>
      <c r="M16" s="411">
        <v>1</v>
      </c>
      <c r="N16" s="412" t="s">
        <v>438</v>
      </c>
      <c r="O16" s="410">
        <v>9</v>
      </c>
      <c r="P16" s="411" t="s">
        <v>313</v>
      </c>
      <c r="Q16" s="411">
        <v>13</v>
      </c>
      <c r="R16" s="412" t="s">
        <v>434</v>
      </c>
      <c r="S16" s="410"/>
      <c r="T16" s="411"/>
      <c r="U16" s="411"/>
      <c r="V16" s="412"/>
      <c r="W16" s="413">
        <f t="shared" si="0"/>
        <v>2</v>
      </c>
      <c r="X16" s="414">
        <v>16</v>
      </c>
      <c r="Y16" s="414">
        <v>64</v>
      </c>
      <c r="Z16" s="410">
        <f t="shared" si="1"/>
        <v>42</v>
      </c>
      <c r="AA16" s="411" t="s">
        <v>313</v>
      </c>
      <c r="AB16" s="415">
        <f t="shared" si="2"/>
        <v>34</v>
      </c>
      <c r="AC16" s="416">
        <f t="shared" si="3"/>
        <v>8</v>
      </c>
      <c r="AD16" s="417">
        <f t="shared" ref="AD16:AD19" si="13">SUM(AE16:AL16)</f>
        <v>92</v>
      </c>
      <c r="AE16" s="418">
        <f>IFERROR(INDEX(V!$R:$R,MATCH(AF16,V!$L:$L,0)),"")</f>
        <v>54</v>
      </c>
      <c r="AF16" s="419" t="str">
        <f t="shared" si="5"/>
        <v>Hillar Neiland</v>
      </c>
      <c r="AG16" s="418">
        <f>IFERROR(INDEX(V!$R:$R,MATCH(AH16,V!$L:$L,0)),"")</f>
        <v>38</v>
      </c>
      <c r="AH16" s="419" t="str">
        <f t="shared" si="6"/>
        <v>Tõnu Kapper</v>
      </c>
      <c r="AI16" s="418" t="str">
        <f>IFERROR(INDEX(V!$R:$R,MATCH(AJ16,V!$L:$L,0)),"")</f>
        <v/>
      </c>
      <c r="AJ16" s="419" t="str">
        <f t="shared" si="7"/>
        <v/>
      </c>
      <c r="AK16" s="418" t="str">
        <f>IFERROR(INDEX(V!$R:$R,MATCH(AL16,V!$L:$L,0)),"")</f>
        <v/>
      </c>
      <c r="AL16" s="419" t="str">
        <f t="shared" si="8"/>
        <v/>
      </c>
      <c r="AM16" s="418" t="str">
        <f>IFERROR(INDEX(V!$R:$R,MATCH(AN16,V!$L:$L,0)),"")</f>
        <v/>
      </c>
      <c r="AN16" s="419" t="str">
        <f t="shared" si="9"/>
        <v/>
      </c>
      <c r="AO16" s="418" t="str">
        <f>IFERROR(INDEX(V!$R:$R,MATCH(AP16,V!$L:$L,0)),"")</f>
        <v/>
      </c>
      <c r="AP16" s="419" t="str">
        <f t="shared" si="10"/>
        <v/>
      </c>
    </row>
    <row r="17" spans="1:42" x14ac:dyDescent="0.2">
      <c r="A17" s="408">
        <v>11</v>
      </c>
      <c r="B17" s="421" t="s">
        <v>323</v>
      </c>
      <c r="C17" s="410">
        <v>6</v>
      </c>
      <c r="D17" s="411" t="s">
        <v>313</v>
      </c>
      <c r="E17" s="411">
        <v>13</v>
      </c>
      <c r="F17" s="412" t="s">
        <v>435</v>
      </c>
      <c r="G17" s="410">
        <v>13</v>
      </c>
      <c r="H17" s="411" t="s">
        <v>313</v>
      </c>
      <c r="I17" s="411">
        <v>6</v>
      </c>
      <c r="J17" s="412" t="s">
        <v>439</v>
      </c>
      <c r="K17" s="410">
        <v>13</v>
      </c>
      <c r="L17" s="411" t="s">
        <v>313</v>
      </c>
      <c r="M17" s="411">
        <v>7</v>
      </c>
      <c r="N17" s="412" t="s">
        <v>406</v>
      </c>
      <c r="O17" s="410">
        <v>1</v>
      </c>
      <c r="P17" s="411" t="s">
        <v>313</v>
      </c>
      <c r="Q17" s="411">
        <v>13</v>
      </c>
      <c r="R17" s="412" t="s">
        <v>320</v>
      </c>
      <c r="S17" s="410"/>
      <c r="T17" s="411"/>
      <c r="U17" s="411"/>
      <c r="V17" s="412"/>
      <c r="W17" s="413">
        <f t="shared" si="0"/>
        <v>2</v>
      </c>
      <c r="X17" s="414">
        <v>14</v>
      </c>
      <c r="Y17" s="414">
        <v>60</v>
      </c>
      <c r="Z17" s="410">
        <f t="shared" si="1"/>
        <v>33</v>
      </c>
      <c r="AA17" s="411" t="s">
        <v>313</v>
      </c>
      <c r="AB17" s="415">
        <f t="shared" si="2"/>
        <v>39</v>
      </c>
      <c r="AC17" s="416">
        <f t="shared" si="3"/>
        <v>-6</v>
      </c>
      <c r="AD17" s="417">
        <f t="shared" si="13"/>
        <v>308</v>
      </c>
      <c r="AE17" s="418">
        <f>IFERROR(INDEX(V!$R:$R,MATCH(AF17,V!$L:$L,0)),"")</f>
        <v>154</v>
      </c>
      <c r="AF17" s="419" t="str">
        <f t="shared" si="5"/>
        <v>Kristel Tihhonjuk</v>
      </c>
      <c r="AG17" s="418">
        <f>IFERROR(INDEX(V!$R:$R,MATCH(AH17,V!$L:$L,0)),"")</f>
        <v>154</v>
      </c>
      <c r="AH17" s="419" t="str">
        <f t="shared" si="6"/>
        <v>Vadim Tihhonjuk</v>
      </c>
      <c r="AI17" s="418" t="str">
        <f>IFERROR(INDEX(V!$R:$R,MATCH(AJ17,V!$L:$L,0)),"")</f>
        <v/>
      </c>
      <c r="AJ17" s="419" t="str">
        <f t="shared" si="7"/>
        <v/>
      </c>
      <c r="AK17" s="418" t="str">
        <f>IFERROR(INDEX(V!$R:$R,MATCH(AL17,V!$L:$L,0)),"")</f>
        <v/>
      </c>
      <c r="AL17" s="419" t="str">
        <f t="shared" si="8"/>
        <v/>
      </c>
      <c r="AM17" s="418" t="str">
        <f>IFERROR(INDEX(V!$R:$R,MATCH(AN17,V!$L:$L,0)),"")</f>
        <v/>
      </c>
      <c r="AN17" s="419" t="str">
        <f t="shared" si="9"/>
        <v/>
      </c>
      <c r="AO17" s="418" t="str">
        <f>IFERROR(INDEX(V!$R:$R,MATCH(AP17,V!$L:$L,0)),"")</f>
        <v/>
      </c>
      <c r="AP17" s="419" t="str">
        <f t="shared" si="10"/>
        <v/>
      </c>
    </row>
    <row r="18" spans="1:42" x14ac:dyDescent="0.2">
      <c r="A18" s="408">
        <v>12</v>
      </c>
      <c r="B18" s="422" t="s">
        <v>386</v>
      </c>
      <c r="C18" s="410">
        <v>7</v>
      </c>
      <c r="D18" s="411" t="s">
        <v>313</v>
      </c>
      <c r="E18" s="411">
        <v>13</v>
      </c>
      <c r="F18" s="412" t="s">
        <v>437</v>
      </c>
      <c r="G18" s="410">
        <v>5</v>
      </c>
      <c r="H18" s="411" t="s">
        <v>313</v>
      </c>
      <c r="I18" s="411">
        <v>13</v>
      </c>
      <c r="J18" s="412" t="s">
        <v>320</v>
      </c>
      <c r="K18" s="410">
        <v>13</v>
      </c>
      <c r="L18" s="411" t="s">
        <v>313</v>
      </c>
      <c r="M18" s="411">
        <v>2</v>
      </c>
      <c r="N18" s="412" t="s">
        <v>439</v>
      </c>
      <c r="O18" s="410">
        <v>13</v>
      </c>
      <c r="P18" s="411" t="s">
        <v>313</v>
      </c>
      <c r="Q18" s="411">
        <v>6</v>
      </c>
      <c r="R18" s="412" t="s">
        <v>438</v>
      </c>
      <c r="S18" s="410"/>
      <c r="T18" s="411"/>
      <c r="U18" s="411"/>
      <c r="V18" s="412"/>
      <c r="W18" s="413">
        <f t="shared" si="0"/>
        <v>2</v>
      </c>
      <c r="X18" s="414">
        <v>12</v>
      </c>
      <c r="Y18" s="414">
        <v>60</v>
      </c>
      <c r="Z18" s="410">
        <f t="shared" si="1"/>
        <v>38</v>
      </c>
      <c r="AA18" s="411" t="s">
        <v>313</v>
      </c>
      <c r="AB18" s="415">
        <f t="shared" si="2"/>
        <v>34</v>
      </c>
      <c r="AC18" s="416">
        <f t="shared" si="3"/>
        <v>4</v>
      </c>
      <c r="AD18" s="417">
        <f t="shared" si="13"/>
        <v>208</v>
      </c>
      <c r="AE18" s="418">
        <f>IFERROR(INDEX(V!$R:$R,MATCH(AF18,V!$L:$L,0)),"")</f>
        <v>116</v>
      </c>
      <c r="AF18" s="419" t="str">
        <f t="shared" si="5"/>
        <v>Jaan Saar</v>
      </c>
      <c r="AG18" s="418">
        <f>IFERROR(INDEX(V!$R:$R,MATCH(AH18,V!$L:$L,0)),"")</f>
        <v>92</v>
      </c>
      <c r="AH18" s="419" t="str">
        <f t="shared" si="6"/>
        <v>Liidia Põllu</v>
      </c>
      <c r="AI18" s="418" t="str">
        <f>IFERROR(INDEX(V!$R:$R,MATCH(AJ18,V!$L:$L,0)),"")</f>
        <v/>
      </c>
      <c r="AJ18" s="419" t="str">
        <f t="shared" si="7"/>
        <v/>
      </c>
      <c r="AK18" s="418" t="str">
        <f>IFERROR(INDEX(V!$R:$R,MATCH(AL18,V!$L:$L,0)),"")</f>
        <v/>
      </c>
      <c r="AL18" s="419" t="str">
        <f t="shared" si="8"/>
        <v/>
      </c>
      <c r="AM18" s="418" t="str">
        <f>IFERROR(INDEX(V!$R:$R,MATCH(AN18,V!$L:$L,0)),"")</f>
        <v/>
      </c>
      <c r="AN18" s="419" t="str">
        <f t="shared" si="9"/>
        <v/>
      </c>
      <c r="AO18" s="418" t="str">
        <f>IFERROR(INDEX(V!$R:$R,MATCH(AP18,V!$L:$L,0)),"")</f>
        <v/>
      </c>
      <c r="AP18" s="419" t="str">
        <f t="shared" si="10"/>
        <v/>
      </c>
    </row>
    <row r="19" spans="1:42" x14ac:dyDescent="0.2">
      <c r="A19" s="408">
        <v>13</v>
      </c>
      <c r="B19" s="421" t="s">
        <v>324</v>
      </c>
      <c r="C19" s="410">
        <v>13</v>
      </c>
      <c r="D19" s="411" t="s">
        <v>313</v>
      </c>
      <c r="E19" s="411">
        <v>5</v>
      </c>
      <c r="F19" s="412" t="s">
        <v>439</v>
      </c>
      <c r="G19" s="410">
        <v>6</v>
      </c>
      <c r="H19" s="411" t="s">
        <v>313</v>
      </c>
      <c r="I19" s="411">
        <v>13</v>
      </c>
      <c r="J19" s="412" t="s">
        <v>404</v>
      </c>
      <c r="K19" s="410">
        <v>7</v>
      </c>
      <c r="L19" s="411" t="s">
        <v>313</v>
      </c>
      <c r="M19" s="411">
        <v>13</v>
      </c>
      <c r="N19" s="412" t="s">
        <v>320</v>
      </c>
      <c r="O19" s="410">
        <v>6</v>
      </c>
      <c r="P19" s="411" t="s">
        <v>313</v>
      </c>
      <c r="Q19" s="411">
        <v>13</v>
      </c>
      <c r="R19" s="412" t="s">
        <v>440</v>
      </c>
      <c r="S19" s="410"/>
      <c r="T19" s="411"/>
      <c r="U19" s="411"/>
      <c r="V19" s="412"/>
      <c r="W19" s="413">
        <f t="shared" si="0"/>
        <v>1</v>
      </c>
      <c r="X19" s="414">
        <v>18</v>
      </c>
      <c r="Y19" s="414">
        <v>62</v>
      </c>
      <c r="Z19" s="410">
        <f t="shared" si="1"/>
        <v>32</v>
      </c>
      <c r="AA19" s="411" t="s">
        <v>313</v>
      </c>
      <c r="AB19" s="415">
        <f t="shared" si="2"/>
        <v>44</v>
      </c>
      <c r="AC19" s="416">
        <f t="shared" si="3"/>
        <v>-12</v>
      </c>
      <c r="AD19" s="417">
        <f t="shared" si="13"/>
        <v>332</v>
      </c>
      <c r="AE19" s="418">
        <f>IFERROR(INDEX(V!$R:$R,MATCH(AF19,V!$L:$L,0)),"")</f>
        <v>166</v>
      </c>
      <c r="AF19" s="419" t="str">
        <f t="shared" si="5"/>
        <v>Oleg Rõndenkov</v>
      </c>
      <c r="AG19" s="418">
        <f>IFERROR(INDEX(V!$R:$R,MATCH(AH19,V!$L:$L,0)),"")</f>
        <v>166</v>
      </c>
      <c r="AH19" s="419" t="str">
        <f t="shared" si="6"/>
        <v>Sander Rose</v>
      </c>
      <c r="AI19" s="418" t="str">
        <f>IFERROR(INDEX(V!$R:$R,MATCH(AJ19,V!$L:$L,0)),"")</f>
        <v/>
      </c>
      <c r="AJ19" s="419" t="str">
        <f t="shared" si="7"/>
        <v/>
      </c>
      <c r="AK19" s="418" t="str">
        <f>IFERROR(INDEX(V!$R:$R,MATCH(AL19,V!$L:$L,0)),"")</f>
        <v/>
      </c>
      <c r="AL19" s="419" t="str">
        <f t="shared" si="8"/>
        <v/>
      </c>
      <c r="AM19" s="418" t="str">
        <f>IFERROR(INDEX(V!$R:$R,MATCH(AN19,V!$L:$L,0)),"")</f>
        <v/>
      </c>
      <c r="AN19" s="419" t="str">
        <f t="shared" si="9"/>
        <v/>
      </c>
      <c r="AO19" s="418" t="str">
        <f>IFERROR(INDEX(V!$R:$R,MATCH(AP19,V!$L:$L,0)),"")</f>
        <v/>
      </c>
      <c r="AP19" s="419" t="str">
        <f t="shared" si="10"/>
        <v/>
      </c>
    </row>
    <row r="20" spans="1:42" x14ac:dyDescent="0.2">
      <c r="A20" s="408">
        <v>14</v>
      </c>
      <c r="B20" s="422" t="s">
        <v>406</v>
      </c>
      <c r="C20" s="410">
        <v>10</v>
      </c>
      <c r="D20" s="411" t="s">
        <v>313</v>
      </c>
      <c r="E20" s="411">
        <v>13</v>
      </c>
      <c r="F20" s="412" t="s">
        <v>436</v>
      </c>
      <c r="G20" s="410">
        <v>5</v>
      </c>
      <c r="H20" s="411" t="s">
        <v>313</v>
      </c>
      <c r="I20" s="411">
        <v>13</v>
      </c>
      <c r="J20" s="412" t="s">
        <v>434</v>
      </c>
      <c r="K20" s="410">
        <v>7</v>
      </c>
      <c r="L20" s="411" t="s">
        <v>313</v>
      </c>
      <c r="M20" s="411">
        <v>13</v>
      </c>
      <c r="N20" s="412" t="s">
        <v>323</v>
      </c>
      <c r="O20" s="410">
        <v>13</v>
      </c>
      <c r="P20" s="411" t="s">
        <v>313</v>
      </c>
      <c r="Q20" s="411">
        <v>9</v>
      </c>
      <c r="R20" s="412" t="s">
        <v>425</v>
      </c>
      <c r="S20" s="410"/>
      <c r="T20" s="411"/>
      <c r="U20" s="411"/>
      <c r="V20" s="412"/>
      <c r="W20" s="413">
        <f t="shared" ref="W20:W21" si="14">IF(C20&gt;E20,W$2,IF(C20&lt;E20,W$4,IF(ISNUMBER(C20),W$3,0)))+IF(G20&gt;I20,W$2,IF(G20&lt;I20,W$4,IF(ISNUMBER(G20),W$3,0)))+IF(K20&gt;M20,W$2,IF(K20&lt;M20,W$4,IF(ISNUMBER(K20),W$3,0)))+IF(O20&gt;Q20,W$2,IF(O20&lt;Q20,W$4,IF(ISNUMBER(O20),W$3,0)))+IF(S20&gt;U20,W$2,IF(S20&lt;U20,W$4,IF(ISNUMBER(S20),W$3,0)))</f>
        <v>1</v>
      </c>
      <c r="X20" s="414">
        <v>16</v>
      </c>
      <c r="Y20" s="414">
        <v>62</v>
      </c>
      <c r="Z20" s="410">
        <f t="shared" ref="Z20:Z21" si="15">C20+G20+K20+O20+S20</f>
        <v>35</v>
      </c>
      <c r="AA20" s="411" t="s">
        <v>313</v>
      </c>
      <c r="AB20" s="415">
        <f t="shared" ref="AB20:AB21" si="16">E20+I20+M20+Q20+U20</f>
        <v>48</v>
      </c>
      <c r="AC20" s="416">
        <f t="shared" ref="AC20:AC21" si="17">Z20-AB20</f>
        <v>-13</v>
      </c>
      <c r="AD20" s="417">
        <f t="shared" ref="AD20:AD21" si="18">SUM(AE20:AL20)</f>
        <v>234</v>
      </c>
      <c r="AE20" s="418">
        <f>IFERROR(INDEX(V!$R:$R,MATCH(AF20,V!$L:$L,0)),"")</f>
        <v>132</v>
      </c>
      <c r="AF20" s="419" t="str">
        <f t="shared" si="5"/>
        <v>Andres Veski</v>
      </c>
      <c r="AG20" s="418">
        <f>IFERROR(INDEX(V!$R:$R,MATCH(AH20,V!$L:$L,0)),"")</f>
        <v>102</v>
      </c>
      <c r="AH20" s="419" t="str">
        <f t="shared" si="6"/>
        <v>Svetlana Veski</v>
      </c>
      <c r="AI20" s="418" t="str">
        <f>IFERROR(INDEX(V!$R:$R,MATCH(AJ20,V!$L:$L,0)),"")</f>
        <v/>
      </c>
      <c r="AJ20" s="419" t="str">
        <f t="shared" si="7"/>
        <v/>
      </c>
      <c r="AK20" s="418" t="str">
        <f>IFERROR(INDEX(V!$R:$R,MATCH(AL20,V!$L:$L,0)),"")</f>
        <v/>
      </c>
      <c r="AL20" s="419" t="str">
        <f t="shared" si="8"/>
        <v/>
      </c>
      <c r="AM20" s="418" t="str">
        <f>IFERROR(INDEX(V!$R:$R,MATCH(AN20,V!$L:$L,0)),"")</f>
        <v/>
      </c>
      <c r="AN20" s="419" t="str">
        <f t="shared" si="9"/>
        <v/>
      </c>
      <c r="AO20" s="418" t="str">
        <f>IFERROR(INDEX(V!$R:$R,MATCH(AP20,V!$L:$L,0)),"")</f>
        <v/>
      </c>
      <c r="AP20" s="419" t="str">
        <f t="shared" si="10"/>
        <v/>
      </c>
    </row>
    <row r="21" spans="1:42" x14ac:dyDescent="0.2">
      <c r="A21" s="408">
        <v>15</v>
      </c>
      <c r="B21" s="421" t="s">
        <v>438</v>
      </c>
      <c r="C21" s="410">
        <v>2</v>
      </c>
      <c r="D21" s="411" t="s">
        <v>313</v>
      </c>
      <c r="E21" s="411">
        <v>13</v>
      </c>
      <c r="F21" s="412" t="s">
        <v>322</v>
      </c>
      <c r="G21" s="410">
        <v>10</v>
      </c>
      <c r="H21" s="411" t="s">
        <v>313</v>
      </c>
      <c r="I21" s="411">
        <v>8</v>
      </c>
      <c r="J21" s="412" t="s">
        <v>428</v>
      </c>
      <c r="K21" s="410">
        <v>1</v>
      </c>
      <c r="L21" s="411" t="s">
        <v>313</v>
      </c>
      <c r="M21" s="411">
        <v>13</v>
      </c>
      <c r="N21" s="412" t="s">
        <v>437</v>
      </c>
      <c r="O21" s="410">
        <v>6</v>
      </c>
      <c r="P21" s="411" t="s">
        <v>313</v>
      </c>
      <c r="Q21" s="411">
        <v>13</v>
      </c>
      <c r="R21" s="412" t="s">
        <v>386</v>
      </c>
      <c r="S21" s="410"/>
      <c r="T21" s="411"/>
      <c r="U21" s="411"/>
      <c r="V21" s="412"/>
      <c r="W21" s="413">
        <f t="shared" si="14"/>
        <v>1</v>
      </c>
      <c r="X21" s="414">
        <v>16</v>
      </c>
      <c r="Y21" s="414">
        <v>56</v>
      </c>
      <c r="Z21" s="410">
        <f t="shared" si="15"/>
        <v>19</v>
      </c>
      <c r="AA21" s="411" t="s">
        <v>313</v>
      </c>
      <c r="AB21" s="415">
        <f t="shared" si="16"/>
        <v>47</v>
      </c>
      <c r="AC21" s="416">
        <f t="shared" si="17"/>
        <v>-28</v>
      </c>
      <c r="AD21" s="417">
        <f t="shared" si="18"/>
        <v>34</v>
      </c>
      <c r="AE21" s="418">
        <f>IFERROR(INDEX(V!$R:$R,MATCH(AF21,V!$L:$L,0)),"")</f>
        <v>14</v>
      </c>
      <c r="AF21" s="419" t="str">
        <f t="shared" si="5"/>
        <v>David Arzantsev</v>
      </c>
      <c r="AG21" s="418">
        <f>IFERROR(INDEX(V!$R:$R,MATCH(AH21,V!$L:$L,0)),"")</f>
        <v>20</v>
      </c>
      <c r="AH21" s="419" t="str">
        <f t="shared" si="6"/>
        <v>Vlad Arzantsev</v>
      </c>
      <c r="AI21" s="418" t="str">
        <f>IFERROR(INDEX(V!$R:$R,MATCH(AJ21,V!$L:$L,0)),"")</f>
        <v/>
      </c>
      <c r="AJ21" s="419" t="str">
        <f t="shared" si="7"/>
        <v/>
      </c>
      <c r="AK21" s="418" t="str">
        <f>IFERROR(INDEX(V!$R:$R,MATCH(AL21,V!$L:$L,0)),"")</f>
        <v/>
      </c>
      <c r="AL21" s="419" t="str">
        <f t="shared" si="8"/>
        <v/>
      </c>
      <c r="AM21" s="418" t="str">
        <f>IFERROR(INDEX(V!$R:$R,MATCH(AN21,V!$L:$L,0)),"")</f>
        <v/>
      </c>
      <c r="AN21" s="419" t="str">
        <f t="shared" si="9"/>
        <v/>
      </c>
      <c r="AO21" s="418" t="str">
        <f>IFERROR(INDEX(V!$R:$R,MATCH(AP21,V!$L:$L,0)),"")</f>
        <v/>
      </c>
      <c r="AP21" s="419" t="str">
        <f t="shared" si="10"/>
        <v/>
      </c>
    </row>
    <row r="22" spans="1:42" x14ac:dyDescent="0.2">
      <c r="A22" s="408">
        <v>16</v>
      </c>
      <c r="B22" s="422" t="s">
        <v>425</v>
      </c>
      <c r="C22" s="410">
        <v>5</v>
      </c>
      <c r="D22" s="411" t="s">
        <v>313</v>
      </c>
      <c r="E22" s="411">
        <v>13</v>
      </c>
      <c r="F22" s="412" t="s">
        <v>420</v>
      </c>
      <c r="G22" s="410">
        <v>3</v>
      </c>
      <c r="H22" s="411" t="s">
        <v>313</v>
      </c>
      <c r="I22" s="411">
        <v>13</v>
      </c>
      <c r="J22" s="412" t="s">
        <v>440</v>
      </c>
      <c r="K22" s="410">
        <v>13</v>
      </c>
      <c r="L22" s="411" t="s">
        <v>313</v>
      </c>
      <c r="M22" s="411">
        <v>6</v>
      </c>
      <c r="N22" s="412" t="s">
        <v>428</v>
      </c>
      <c r="O22" s="410">
        <v>9</v>
      </c>
      <c r="P22" s="411" t="s">
        <v>313</v>
      </c>
      <c r="Q22" s="411">
        <v>13</v>
      </c>
      <c r="R22" s="412" t="s">
        <v>406</v>
      </c>
      <c r="S22" s="410"/>
      <c r="T22" s="411"/>
      <c r="U22" s="411"/>
      <c r="V22" s="412"/>
      <c r="W22" s="413">
        <f t="shared" ref="W22:W24" si="19">IF(C22&gt;E22,W$2,IF(C22&lt;E22,W$4,IF(ISNUMBER(C22),W$3,0)))+IF(G22&gt;I22,W$2,IF(G22&lt;I22,W$4,IF(ISNUMBER(G22),W$3,0)))+IF(K22&gt;M22,W$2,IF(K22&lt;M22,W$4,IF(ISNUMBER(K22),W$3,0)))+IF(O22&gt;Q22,W$2,IF(O22&lt;Q22,W$4,IF(ISNUMBER(O22),W$3,0)))+IF(S22&gt;U22,W$2,IF(S22&lt;U22,W$4,IF(ISNUMBER(S22),W$3,0)))</f>
        <v>1</v>
      </c>
      <c r="X22" s="414">
        <v>12</v>
      </c>
      <c r="Y22" s="414">
        <v>66</v>
      </c>
      <c r="Z22" s="410">
        <f t="shared" ref="Z22:Z24" si="20">C22+G22+K22+O22+S22</f>
        <v>30</v>
      </c>
      <c r="AA22" s="411" t="s">
        <v>313</v>
      </c>
      <c r="AB22" s="415">
        <f t="shared" ref="AB22:AB24" si="21">E22+I22+M22+Q22+U22</f>
        <v>45</v>
      </c>
      <c r="AC22" s="416">
        <f t="shared" ref="AC22:AC24" si="22">Z22-AB22</f>
        <v>-15</v>
      </c>
      <c r="AD22" s="417">
        <f t="shared" ref="AD22:AD24" si="23">SUM(AE22:AL22)</f>
        <v>190</v>
      </c>
      <c r="AE22" s="418">
        <f>IFERROR(INDEX(V!$R:$R,MATCH(AF22,V!$L:$L,0)),"")</f>
        <v>108</v>
      </c>
      <c r="AF22" s="419" t="str">
        <f t="shared" si="5"/>
        <v>Marko Rooden</v>
      </c>
      <c r="AG22" s="418">
        <f>IFERROR(INDEX(V!$R:$R,MATCH(AH22,V!$L:$L,0)),"")</f>
        <v>82</v>
      </c>
      <c r="AH22" s="419" t="str">
        <f t="shared" si="6"/>
        <v>Martin Kuusmann</v>
      </c>
      <c r="AI22" s="418" t="str">
        <f>IFERROR(INDEX(V!$R:$R,MATCH(AJ22,V!$L:$L,0)),"")</f>
        <v/>
      </c>
      <c r="AJ22" s="419" t="str">
        <f t="shared" si="7"/>
        <v/>
      </c>
      <c r="AK22" s="418" t="str">
        <f>IFERROR(INDEX(V!$R:$R,MATCH(AL22,V!$L:$L,0)),"")</f>
        <v/>
      </c>
      <c r="AL22" s="419" t="str">
        <f t="shared" si="8"/>
        <v/>
      </c>
      <c r="AM22" s="418" t="str">
        <f>IFERROR(INDEX(V!$R:$R,MATCH(AN22,V!$L:$L,0)),"")</f>
        <v/>
      </c>
      <c r="AN22" s="419" t="str">
        <f t="shared" si="9"/>
        <v/>
      </c>
      <c r="AO22" s="418" t="str">
        <f>IFERROR(INDEX(V!$R:$R,MATCH(AP22,V!$L:$L,0)),"")</f>
        <v/>
      </c>
      <c r="AP22" s="419" t="str">
        <f t="shared" si="10"/>
        <v/>
      </c>
    </row>
    <row r="23" spans="1:42" x14ac:dyDescent="0.2">
      <c r="A23" s="408">
        <v>17</v>
      </c>
      <c r="B23" s="421" t="s">
        <v>428</v>
      </c>
      <c r="C23" s="410">
        <v>2</v>
      </c>
      <c r="D23" s="411" t="s">
        <v>313</v>
      </c>
      <c r="E23" s="411">
        <v>13</v>
      </c>
      <c r="F23" s="412" t="s">
        <v>429</v>
      </c>
      <c r="G23" s="410">
        <v>8</v>
      </c>
      <c r="H23" s="411" t="s">
        <v>313</v>
      </c>
      <c r="I23" s="411">
        <v>10</v>
      </c>
      <c r="J23" s="412" t="s">
        <v>438</v>
      </c>
      <c r="K23" s="410">
        <v>6</v>
      </c>
      <c r="L23" s="411" t="s">
        <v>313</v>
      </c>
      <c r="M23" s="411">
        <v>13</v>
      </c>
      <c r="N23" s="412" t="s">
        <v>425</v>
      </c>
      <c r="O23" s="410">
        <v>11</v>
      </c>
      <c r="P23" s="411" t="s">
        <v>313</v>
      </c>
      <c r="Q23" s="411">
        <v>9</v>
      </c>
      <c r="R23" s="412" t="s">
        <v>439</v>
      </c>
      <c r="S23" s="410"/>
      <c r="T23" s="411"/>
      <c r="U23" s="411"/>
      <c r="V23" s="412"/>
      <c r="W23" s="413">
        <f t="shared" si="19"/>
        <v>1</v>
      </c>
      <c r="X23" s="414">
        <v>10</v>
      </c>
      <c r="Y23" s="414">
        <v>60</v>
      </c>
      <c r="Z23" s="410">
        <f t="shared" si="20"/>
        <v>27</v>
      </c>
      <c r="AA23" s="411" t="s">
        <v>313</v>
      </c>
      <c r="AB23" s="415">
        <f t="shared" si="21"/>
        <v>45</v>
      </c>
      <c r="AC23" s="416">
        <f t="shared" si="22"/>
        <v>-18</v>
      </c>
      <c r="AD23" s="417">
        <f t="shared" si="23"/>
        <v>22</v>
      </c>
      <c r="AE23" s="418">
        <f>IFERROR(INDEX(V!$R:$R,MATCH(AF23,V!$L:$L,0)),"")</f>
        <v>10</v>
      </c>
      <c r="AF23" s="419" t="str">
        <f t="shared" si="5"/>
        <v>Illar Tõnurist</v>
      </c>
      <c r="AG23" s="418">
        <f>IFERROR(INDEX(V!$R:$R,MATCH(AH23,V!$L:$L,0)),"")</f>
        <v>12</v>
      </c>
      <c r="AH23" s="419" t="str">
        <f t="shared" si="6"/>
        <v>Jüri Mitt</v>
      </c>
      <c r="AI23" s="418" t="str">
        <f>IFERROR(INDEX(V!$R:$R,MATCH(AJ23,V!$L:$L,0)),"")</f>
        <v/>
      </c>
      <c r="AJ23" s="419" t="str">
        <f t="shared" si="7"/>
        <v/>
      </c>
      <c r="AK23" s="418" t="str">
        <f>IFERROR(INDEX(V!$R:$R,MATCH(AL23,V!$L:$L,0)),"")</f>
        <v/>
      </c>
      <c r="AL23" s="419" t="str">
        <f t="shared" si="8"/>
        <v/>
      </c>
      <c r="AM23" s="418" t="str">
        <f>IFERROR(INDEX(V!$R:$R,MATCH(AN23,V!$L:$L,0)),"")</f>
        <v/>
      </c>
      <c r="AN23" s="419" t="str">
        <f t="shared" si="9"/>
        <v/>
      </c>
      <c r="AO23" s="418" t="str">
        <f>IFERROR(INDEX(V!$R:$R,MATCH(AP23,V!$L:$L,0)),"")</f>
        <v/>
      </c>
      <c r="AP23" s="419" t="str">
        <f t="shared" si="10"/>
        <v/>
      </c>
    </row>
    <row r="24" spans="1:42" x14ac:dyDescent="0.2">
      <c r="A24" s="408">
        <v>18</v>
      </c>
      <c r="B24" s="422" t="s">
        <v>439</v>
      </c>
      <c r="C24" s="410">
        <v>5</v>
      </c>
      <c r="D24" s="411" t="s">
        <v>313</v>
      </c>
      <c r="E24" s="411">
        <v>13</v>
      </c>
      <c r="F24" s="412" t="s">
        <v>324</v>
      </c>
      <c r="G24" s="410">
        <v>6</v>
      </c>
      <c r="H24" s="411" t="s">
        <v>313</v>
      </c>
      <c r="I24" s="411">
        <v>13</v>
      </c>
      <c r="J24" s="412" t="s">
        <v>323</v>
      </c>
      <c r="K24" s="410">
        <v>2</v>
      </c>
      <c r="L24" s="411" t="s">
        <v>313</v>
      </c>
      <c r="M24" s="411">
        <v>13</v>
      </c>
      <c r="N24" s="412" t="s">
        <v>386</v>
      </c>
      <c r="O24" s="410">
        <v>9</v>
      </c>
      <c r="P24" s="411" t="s">
        <v>313</v>
      </c>
      <c r="Q24" s="411">
        <v>11</v>
      </c>
      <c r="R24" s="412" t="s">
        <v>428</v>
      </c>
      <c r="S24" s="410"/>
      <c r="T24" s="411"/>
      <c r="U24" s="411"/>
      <c r="V24" s="412"/>
      <c r="W24" s="413">
        <f t="shared" si="19"/>
        <v>0</v>
      </c>
      <c r="X24" s="414">
        <v>12</v>
      </c>
      <c r="Y24" s="414">
        <v>54</v>
      </c>
      <c r="Z24" s="410">
        <f t="shared" si="20"/>
        <v>22</v>
      </c>
      <c r="AA24" s="411" t="s">
        <v>313</v>
      </c>
      <c r="AB24" s="415">
        <f t="shared" si="21"/>
        <v>50</v>
      </c>
      <c r="AC24" s="416">
        <f t="shared" si="22"/>
        <v>-28</v>
      </c>
      <c r="AD24" s="417">
        <f t="shared" si="23"/>
        <v>12</v>
      </c>
      <c r="AE24" s="418">
        <f>IFERROR(INDEX(V!$R:$R,MATCH(AF24,V!$L:$L,0)),"")</f>
        <v>6</v>
      </c>
      <c r="AF24" s="419" t="str">
        <f t="shared" si="5"/>
        <v>Heili Vasser</v>
      </c>
      <c r="AG24" s="418">
        <f>IFERROR(INDEX(V!$R:$R,MATCH(AH24,V!$L:$L,0)),"")</f>
        <v>6</v>
      </c>
      <c r="AH24" s="419" t="str">
        <f t="shared" si="6"/>
        <v>Vello Vasser</v>
      </c>
      <c r="AI24" s="418" t="str">
        <f>IFERROR(INDEX(V!$R:$R,MATCH(AJ24,V!$L:$L,0)),"")</f>
        <v/>
      </c>
      <c r="AJ24" s="419" t="str">
        <f t="shared" si="7"/>
        <v/>
      </c>
      <c r="AK24" s="418" t="str">
        <f>IFERROR(INDEX(V!$R:$R,MATCH(AL24,V!$L:$L,0)),"")</f>
        <v/>
      </c>
      <c r="AL24" s="419" t="str">
        <f t="shared" si="8"/>
        <v/>
      </c>
      <c r="AM24" s="418" t="str">
        <f>IFERROR(INDEX(V!$R:$R,MATCH(AN24,V!$L:$L,0)),"")</f>
        <v/>
      </c>
      <c r="AN24" s="419" t="str">
        <f t="shared" si="9"/>
        <v/>
      </c>
      <c r="AO24" s="418" t="str">
        <f>IFERROR(INDEX(V!$R:$R,MATCH(AP24,V!$L:$L,0)),"")</f>
        <v/>
      </c>
      <c r="AP24" s="419" t="str">
        <f t="shared" si="10"/>
        <v/>
      </c>
    </row>
    <row r="27" spans="1:42" hidden="1" x14ac:dyDescent="0.2"/>
    <row r="28" spans="1:42" hidden="1" x14ac:dyDescent="0.2"/>
    <row r="29" spans="1:42" hidden="1" x14ac:dyDescent="0.2"/>
    <row r="30" spans="1:42" hidden="1" x14ac:dyDescent="0.2"/>
    <row r="31" spans="1:42" hidden="1" x14ac:dyDescent="0.2"/>
    <row r="32" spans="1:4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6" hidden="1" x14ac:dyDescent="0.2"/>
    <row r="290" spans="1:6" hidden="1" x14ac:dyDescent="0.2"/>
    <row r="291" spans="1:6" hidden="1" x14ac:dyDescent="0.2"/>
    <row r="292" spans="1:6" hidden="1" x14ac:dyDescent="0.2"/>
    <row r="293" spans="1:6" hidden="1" x14ac:dyDescent="0.2"/>
    <row r="294" spans="1:6" hidden="1" x14ac:dyDescent="0.2"/>
    <row r="295" spans="1:6" hidden="1" x14ac:dyDescent="0.2"/>
    <row r="296" spans="1:6" hidden="1" x14ac:dyDescent="0.2"/>
    <row r="297" spans="1:6" hidden="1" x14ac:dyDescent="0.2"/>
    <row r="298" spans="1:6" hidden="1" x14ac:dyDescent="0.2"/>
    <row r="299" spans="1:6" x14ac:dyDescent="0.2">
      <c r="A299" s="378"/>
      <c r="B299" s="378"/>
      <c r="C299" s="423" t="s">
        <v>316</v>
      </c>
      <c r="F299" s="424"/>
    </row>
    <row r="300" spans="1:6" x14ac:dyDescent="0.2">
      <c r="A300" s="425">
        <v>1</v>
      </c>
      <c r="B300" s="426" t="str">
        <f t="shared" ref="B300:B312" si="24">IFERROR(INDEX(B$1:B$95,MATCH(A300,A$1:A$95,0)),"")</f>
        <v>Kaspar Mänd, Matti Vinni</v>
      </c>
      <c r="C300" s="427">
        <f>LARGE(A300:A400,1)*2+2-A300*2</f>
        <v>36</v>
      </c>
      <c r="F300" s="424"/>
    </row>
    <row r="301" spans="1:6" x14ac:dyDescent="0.2">
      <c r="A301" s="425">
        <v>2</v>
      </c>
      <c r="B301" s="426" t="str">
        <f t="shared" si="24"/>
        <v>Kenneth Muusikus, Viktoria Mets</v>
      </c>
      <c r="C301" s="427">
        <f t="shared" ref="C301:C312" si="25">LARGE(A301:A401,1)*2+2-A301*2</f>
        <v>34</v>
      </c>
      <c r="F301" s="424"/>
    </row>
    <row r="302" spans="1:6" x14ac:dyDescent="0.2">
      <c r="A302" s="425">
        <v>3</v>
      </c>
      <c r="B302" s="426" t="str">
        <f t="shared" si="24"/>
        <v>Andrei Grintšak, Enn Tokman</v>
      </c>
      <c r="C302" s="427">
        <f t="shared" si="25"/>
        <v>32</v>
      </c>
      <c r="F302" s="424"/>
    </row>
    <row r="303" spans="1:6" x14ac:dyDescent="0.2">
      <c r="A303" s="425">
        <v>4</v>
      </c>
      <c r="B303" s="426" t="str">
        <f t="shared" si="24"/>
        <v>Elmo Lageda, Olav Türk</v>
      </c>
      <c r="C303" s="427">
        <f t="shared" si="25"/>
        <v>30</v>
      </c>
      <c r="F303" s="424"/>
    </row>
    <row r="304" spans="1:6" x14ac:dyDescent="0.2">
      <c r="A304" s="425">
        <v>5</v>
      </c>
      <c r="B304" s="426" t="str">
        <f t="shared" si="24"/>
        <v>Oliver Ojasalu, Tõnis Neiland</v>
      </c>
      <c r="C304" s="427">
        <f t="shared" si="25"/>
        <v>28</v>
      </c>
      <c r="F304" s="424"/>
    </row>
    <row r="305" spans="1:6" x14ac:dyDescent="0.2">
      <c r="A305" s="425">
        <v>6</v>
      </c>
      <c r="B305" s="426" t="str">
        <f t="shared" si="24"/>
        <v>Ivar Viljaste, Kristo Viljaste</v>
      </c>
      <c r="C305" s="427">
        <f t="shared" si="25"/>
        <v>26</v>
      </c>
      <c r="F305" s="424"/>
    </row>
    <row r="306" spans="1:6" x14ac:dyDescent="0.2">
      <c r="A306" s="425">
        <v>7</v>
      </c>
      <c r="B306" s="426" t="str">
        <f t="shared" si="24"/>
        <v>Johannes Neiland, Urmas Randlaine</v>
      </c>
      <c r="C306" s="427">
        <f t="shared" si="25"/>
        <v>24</v>
      </c>
      <c r="F306" s="424"/>
    </row>
    <row r="307" spans="1:6" x14ac:dyDescent="0.2">
      <c r="A307" s="425">
        <v>8</v>
      </c>
      <c r="B307" s="426" t="str">
        <f t="shared" si="24"/>
        <v>Emil Murzajev, Viktor Švarõgin</v>
      </c>
      <c r="C307" s="427">
        <f t="shared" si="25"/>
        <v>22</v>
      </c>
      <c r="F307" s="424"/>
    </row>
    <row r="308" spans="1:6" x14ac:dyDescent="0.2">
      <c r="A308" s="425">
        <v>9</v>
      </c>
      <c r="B308" s="426" t="str">
        <f t="shared" si="24"/>
        <v>Aleksander Korikov, Jevgeni Korikov</v>
      </c>
      <c r="C308" s="427">
        <f t="shared" si="25"/>
        <v>20</v>
      </c>
      <c r="F308" s="424"/>
    </row>
    <row r="309" spans="1:6" x14ac:dyDescent="0.2">
      <c r="A309" s="425">
        <v>10</v>
      </c>
      <c r="B309" s="426" t="str">
        <f t="shared" si="24"/>
        <v>Hillar Neiland, Tõnu Kapper</v>
      </c>
      <c r="C309" s="427">
        <f t="shared" si="25"/>
        <v>18</v>
      </c>
    </row>
    <row r="310" spans="1:6" x14ac:dyDescent="0.2">
      <c r="A310" s="425">
        <v>11</v>
      </c>
      <c r="B310" s="426" t="str">
        <f t="shared" si="24"/>
        <v>Kristel Tihhonjuk, Vadim Tihhonjuk</v>
      </c>
      <c r="C310" s="427">
        <f t="shared" si="25"/>
        <v>16</v>
      </c>
    </row>
    <row r="311" spans="1:6" x14ac:dyDescent="0.2">
      <c r="A311" s="425">
        <v>12</v>
      </c>
      <c r="B311" s="426" t="str">
        <f t="shared" si="24"/>
        <v>Jaan Saar, Liidia Põllu</v>
      </c>
      <c r="C311" s="427">
        <f t="shared" si="25"/>
        <v>14</v>
      </c>
    </row>
    <row r="312" spans="1:6" x14ac:dyDescent="0.2">
      <c r="A312" s="425">
        <v>13</v>
      </c>
      <c r="B312" s="426" t="str">
        <f t="shared" si="24"/>
        <v>Oleg Rõndenkov, Sander Rose</v>
      </c>
      <c r="C312" s="427">
        <f t="shared" si="25"/>
        <v>12</v>
      </c>
    </row>
    <row r="313" spans="1:6" x14ac:dyDescent="0.2">
      <c r="A313" s="425">
        <v>14</v>
      </c>
      <c r="B313" s="426" t="str">
        <f t="shared" ref="B313:B314" si="26">IFERROR(INDEX(B$1:B$95,MATCH(A313,A$1:A$95,0)),"")</f>
        <v>Andres Veski, Svetlana Veski</v>
      </c>
      <c r="C313" s="427">
        <f t="shared" ref="C313:C314" si="27">LARGE(A313:A413,1)*2+2-A313*2</f>
        <v>10</v>
      </c>
    </row>
    <row r="314" spans="1:6" x14ac:dyDescent="0.2">
      <c r="A314" s="425">
        <v>15</v>
      </c>
      <c r="B314" s="426" t="str">
        <f t="shared" si="26"/>
        <v>David Arzantsev, Vlad Arzantsev</v>
      </c>
      <c r="C314" s="427">
        <f t="shared" si="27"/>
        <v>8</v>
      </c>
    </row>
    <row r="315" spans="1:6" x14ac:dyDescent="0.2">
      <c r="A315" s="425">
        <v>16</v>
      </c>
      <c r="B315" s="426" t="str">
        <f t="shared" ref="B315:B317" si="28">IFERROR(INDEX(B$1:B$95,MATCH(A315,A$1:A$95,0)),"")</f>
        <v>Marko Rooden, Martin Kuusmann</v>
      </c>
      <c r="C315" s="427">
        <f t="shared" ref="C315:C317" si="29">LARGE(A315:A415,1)*2+2-A315*2</f>
        <v>6</v>
      </c>
    </row>
    <row r="316" spans="1:6" x14ac:dyDescent="0.2">
      <c r="A316" s="425">
        <v>17</v>
      </c>
      <c r="B316" s="426" t="str">
        <f t="shared" si="28"/>
        <v>Illar Tõnurist, Jüri Mitt</v>
      </c>
      <c r="C316" s="427">
        <f t="shared" si="29"/>
        <v>4</v>
      </c>
    </row>
    <row r="317" spans="1:6" x14ac:dyDescent="0.2">
      <c r="A317" s="425">
        <v>18</v>
      </c>
      <c r="B317" s="426" t="str">
        <f t="shared" si="28"/>
        <v>Heili Vasser, Vello Vasser</v>
      </c>
      <c r="C317" s="427">
        <f t="shared" si="29"/>
        <v>2</v>
      </c>
    </row>
  </sheetData>
  <conditionalFormatting sqref="AJ7:AJ24 AH7:AH24 AL7:AL24">
    <cfRule type="expression" dxfId="430" priority="36">
      <formula>AND(AG7="",FIND(",",AH7))</formula>
    </cfRule>
    <cfRule type="expression" dxfId="429" priority="38">
      <formula>AND(AG7="",COUNTIF(AH7,"*,*")=0)</formula>
    </cfRule>
  </conditionalFormatting>
  <conditionalFormatting sqref="AF7:AF24">
    <cfRule type="expression" dxfId="428" priority="37">
      <formula>AND(AE7="",COUNTIF(AF7,"*,*")=0)</formula>
    </cfRule>
  </conditionalFormatting>
  <conditionalFormatting sqref="AN7:AN24 AP7:AP24">
    <cfRule type="expression" dxfId="427" priority="34">
      <formula>AND(AM7="",COUNTIF(AN7,"*,*")=0)</formula>
    </cfRule>
    <cfRule type="expression" dxfId="426" priority="35">
      <formula>AND(AM7="",FIND(",",AN7))</formula>
    </cfRule>
  </conditionalFormatting>
  <conditionalFormatting sqref="B300:B317">
    <cfRule type="expression" dxfId="425" priority="39">
      <formula>A300=3</formula>
    </cfRule>
    <cfRule type="expression" dxfId="424" priority="40">
      <formula>A300=2</formula>
    </cfRule>
    <cfRule type="expression" dxfId="423" priority="41">
      <formula>A300=1</formula>
    </cfRule>
    <cfRule type="containsBlanks" dxfId="422" priority="42">
      <formula>LEN(TRIM(B300))=0</formula>
    </cfRule>
    <cfRule type="duplicateValues" dxfId="421" priority="43"/>
  </conditionalFormatting>
  <conditionalFormatting sqref="A7:A24">
    <cfRule type="duplicateValues" dxfId="420" priority="33"/>
  </conditionalFormatting>
  <conditionalFormatting sqref="C7:C24">
    <cfRule type="expression" dxfId="419" priority="15">
      <formula>IF($C7&gt;$E7,TRUE)</formula>
    </cfRule>
  </conditionalFormatting>
  <conditionalFormatting sqref="E7:E24">
    <cfRule type="expression" dxfId="418" priority="16">
      <formula>IF($C7&lt;$E7,TRUE)</formula>
    </cfRule>
  </conditionalFormatting>
  <conditionalFormatting sqref="K7:K24">
    <cfRule type="expression" dxfId="417" priority="23">
      <formula>IF($K7&gt;$M7,TRUE)</formula>
    </cfRule>
  </conditionalFormatting>
  <conditionalFormatting sqref="M7:M24">
    <cfRule type="expression" dxfId="416" priority="24">
      <formula>IF($K7&lt;$M7,TRUE)</formula>
    </cfRule>
  </conditionalFormatting>
  <conditionalFormatting sqref="O7:O24">
    <cfRule type="expression" dxfId="415" priority="27">
      <formula>IF($O7&gt;$Q7,TRUE)</formula>
    </cfRule>
  </conditionalFormatting>
  <conditionalFormatting sqref="Q7:Q24">
    <cfRule type="expression" dxfId="414" priority="28">
      <formula>IF($O7&lt;$Q7,TRUE)</formula>
    </cfRule>
  </conditionalFormatting>
  <conditionalFormatting sqref="S7:S24">
    <cfRule type="expression" dxfId="413" priority="31">
      <formula>IF($S7&gt;$U7,TRUE)</formula>
    </cfRule>
  </conditionalFormatting>
  <conditionalFormatting sqref="U7:U24">
    <cfRule type="expression" dxfId="412" priority="32">
      <formula>IF($S7&lt;$U7,TRUE)</formula>
    </cfRule>
  </conditionalFormatting>
  <conditionalFormatting sqref="G7:G24">
    <cfRule type="expression" dxfId="411" priority="19">
      <formula>IF($G7&gt;$I7,TRUE)</formula>
    </cfRule>
  </conditionalFormatting>
  <conditionalFormatting sqref="I7:I24">
    <cfRule type="expression" dxfId="410" priority="20">
      <formula>IF($G7&lt;$I7,TRUE)</formula>
    </cfRule>
  </conditionalFormatting>
  <conditionalFormatting sqref="F7:F24">
    <cfRule type="containsText" dxfId="409" priority="6" operator="containsText" text="vaba voor">
      <formula>NOT(ISERROR(SEARCH("vaba voor",F7)))</formula>
    </cfRule>
  </conditionalFormatting>
  <conditionalFormatting sqref="N7:N24">
    <cfRule type="containsText" dxfId="408" priority="4" operator="containsText" text="vaba voor">
      <formula>NOT(ISERROR(SEARCH("vaba voor",N7)))</formula>
    </cfRule>
  </conditionalFormatting>
  <conditionalFormatting sqref="R7:R24">
    <cfRule type="containsText" dxfId="407" priority="7" operator="containsText" text="vaba voor">
      <formula>NOT(ISERROR(SEARCH("vaba voor",R7)))</formula>
    </cfRule>
  </conditionalFormatting>
  <conditionalFormatting sqref="V7:V24">
    <cfRule type="containsText" dxfId="406" priority="3" operator="containsText" text="vaba voor">
      <formula>NOT(ISERROR(SEARCH("vaba voor",V7)))</formula>
    </cfRule>
  </conditionalFormatting>
  <conditionalFormatting sqref="J7:J24">
    <cfRule type="containsText" dxfId="405" priority="5" operator="containsText" text="vaba voor">
      <formula>NOT(ISERROR(SEARCH("vaba voor",J7)))</formula>
    </cfRule>
  </conditionalFormatting>
  <conditionalFormatting sqref="C7:F24">
    <cfRule type="expression" dxfId="404" priority="11">
      <formula>IF(AND(ISNUMBER($C7),$C7=$E7),TRUE)</formula>
    </cfRule>
    <cfRule type="expression" dxfId="403" priority="13">
      <formula>IF($C7&gt;$E7,TRUE)</formula>
    </cfRule>
    <cfRule type="expression" dxfId="402" priority="14">
      <formula>IF($C7&lt;$E7,TRUE)</formula>
    </cfRule>
  </conditionalFormatting>
  <conditionalFormatting sqref="G7:J24">
    <cfRule type="expression" dxfId="401" priority="12">
      <formula>IF(AND(ISNUMBER($G7),$G7=$I7),TRUE)</formula>
    </cfRule>
    <cfRule type="expression" dxfId="400" priority="17">
      <formula>IF($G7&gt;$I7,TRUE)</formula>
    </cfRule>
    <cfRule type="expression" dxfId="399" priority="18">
      <formula>IF($G7&lt;$I7,TRUE)</formula>
    </cfRule>
  </conditionalFormatting>
  <conditionalFormatting sqref="K7:N24">
    <cfRule type="expression" dxfId="398" priority="10">
      <formula>IF(AND(ISNUMBER($K7),$K7=$M7),TRUE)</formula>
    </cfRule>
    <cfRule type="expression" dxfId="397" priority="21">
      <formula>IF($K7&gt;$M7,TRUE)</formula>
    </cfRule>
    <cfRule type="expression" dxfId="396" priority="22">
      <formula>IF($K7&lt;$M7,TRUE)</formula>
    </cfRule>
  </conditionalFormatting>
  <conditionalFormatting sqref="O7:R24">
    <cfRule type="expression" dxfId="395" priority="9">
      <formula>IF(AND(ISNUMBER($O7),$O7=$Q7),TRUE)</formula>
    </cfRule>
    <cfRule type="expression" dxfId="394" priority="25">
      <formula>IF($O7&gt;$Q7,TRUE)</formula>
    </cfRule>
    <cfRule type="expression" dxfId="393" priority="26">
      <formula>IF($O7&lt;$Q7,TRUE)</formula>
    </cfRule>
  </conditionalFormatting>
  <conditionalFormatting sqref="S7:V24">
    <cfRule type="expression" dxfId="392" priority="8">
      <formula>IF(AND(ISNUMBER($S7),$S7=$U7),TRUE)</formula>
    </cfRule>
    <cfRule type="expression" dxfId="391" priority="29">
      <formula>IF($S7&gt;$U7,TRUE)</formula>
    </cfRule>
    <cfRule type="expression" dxfId="390" priority="30">
      <formula>IF($S7&lt;$U7,TRUE)</formula>
    </cfRule>
  </conditionalFormatting>
  <conditionalFormatting sqref="C7:C24 G7:G24 K7:K24 O7:O24 S7:S24">
    <cfRule type="expression" dxfId="389" priority="1">
      <formula>AND(C7=0,E7=13)</formula>
    </cfRule>
  </conditionalFormatting>
  <conditionalFormatting sqref="E7:E24 I7:I24 M7:M24 Q7:Q24 U7:U24">
    <cfRule type="expression" dxfId="388" priority="2">
      <formula>AND(E7=0,C7=13)</formula>
    </cfRule>
  </conditionalFormatting>
  <pageMargins left="0.39370078740157483" right="0.39370078740157483" top="0.78740157480314965" bottom="0.39370078740157483" header="0.78740157480314965" footer="0"/>
  <pageSetup paperSize="9" fitToHeight="0" orientation="landscape" verticalDpi="1200" r:id="rId1"/>
  <headerFooter>
    <oddHeader>&amp;R&amp;P. leht &amp;N&amp; -st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P315"/>
  <sheetViews>
    <sheetView showGridLines="0" showRowColHeaders="0" workbookViewId="0">
      <pane ySplit="1" topLeftCell="A2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1" width="3.28515625" style="377" customWidth="1"/>
    <col min="2" max="2" width="42.42578125" style="377" bestFit="1" customWidth="1"/>
    <col min="3" max="3" width="4.7109375" style="377" customWidth="1"/>
    <col min="4" max="4" width="1.140625" style="377" customWidth="1"/>
    <col min="5" max="5" width="2.7109375" style="377" customWidth="1"/>
    <col min="6" max="6" width="9.140625" style="377"/>
    <col min="7" max="7" width="2.7109375" style="377" customWidth="1"/>
    <col min="8" max="8" width="1.140625" style="377" customWidth="1"/>
    <col min="9" max="9" width="2.7109375" style="377" customWidth="1"/>
    <col min="10" max="10" width="9.140625" style="377"/>
    <col min="11" max="11" width="2.7109375" style="377" customWidth="1"/>
    <col min="12" max="12" width="1.140625" style="377" customWidth="1"/>
    <col min="13" max="13" width="2.7109375" style="377" customWidth="1"/>
    <col min="14" max="14" width="9.140625" style="377"/>
    <col min="15" max="15" width="2.7109375" style="377" customWidth="1"/>
    <col min="16" max="16" width="1.140625" style="377" customWidth="1"/>
    <col min="17" max="17" width="2.7109375" style="377" customWidth="1"/>
    <col min="18" max="18" width="9.140625" style="377"/>
    <col min="19" max="19" width="2.7109375" style="377" hidden="1" customWidth="1"/>
    <col min="20" max="20" width="1.140625" style="377" hidden="1" customWidth="1"/>
    <col min="21" max="21" width="2.7109375" style="377" hidden="1" customWidth="1"/>
    <col min="22" max="22" width="0" style="377" hidden="1" customWidth="1"/>
    <col min="23" max="23" width="5.7109375" style="377" customWidth="1"/>
    <col min="24" max="24" width="5.5703125" style="377" customWidth="1"/>
    <col min="25" max="25" width="7.42578125" style="377" customWidth="1"/>
    <col min="26" max="26" width="2.7109375" style="377" customWidth="1"/>
    <col min="27" max="27" width="1.140625" style="377" customWidth="1"/>
    <col min="28" max="28" width="2.7109375" style="377" customWidth="1"/>
    <col min="29" max="29" width="4.7109375" style="377" customWidth="1"/>
    <col min="30" max="31" width="9.140625" style="377" hidden="1" customWidth="1"/>
    <col min="32" max="32" width="17" style="377" hidden="1" customWidth="1"/>
    <col min="33" max="33" width="9.140625" style="377" hidden="1" customWidth="1"/>
    <col min="34" max="34" width="25.140625" style="377" hidden="1" customWidth="1"/>
    <col min="35" max="35" width="9.140625" style="377" hidden="1" customWidth="1"/>
    <col min="36" max="36" width="17.28515625" style="377" hidden="1" customWidth="1"/>
    <col min="37" max="37" width="9.140625" style="377" hidden="1" customWidth="1"/>
    <col min="38" max="38" width="13.85546875" style="377" hidden="1" customWidth="1"/>
    <col min="39" max="39" width="9.140625" style="377" hidden="1" customWidth="1"/>
    <col min="40" max="40" width="17.28515625" style="377" hidden="1" customWidth="1"/>
    <col min="41" max="41" width="9.140625" style="377" hidden="1" customWidth="1"/>
    <col min="42" max="42" width="13.85546875" style="377" hidden="1" customWidth="1"/>
    <col min="43" max="16384" width="9.140625" style="377"/>
  </cols>
  <sheetData>
    <row r="1" spans="1:42" x14ac:dyDescent="0.2">
      <c r="A1" s="376" t="str">
        <f>UPPER((Kalend!E24)&amp;" - "&amp;(Kalend!C24))&amp;" - "&amp;LOWER(Kalend!D24)&amp;" - "&amp;(Kalend!A24)&amp;" kell "&amp;(Kalend!B24)&amp;" - "&amp;(Kalend!F24)</f>
        <v>V6 - VOKA X KV 6. ETAPP - duo - K, 19.07.2023 kell 18:00 - Voka staadion</v>
      </c>
      <c r="O1" s="378"/>
      <c r="P1" s="378"/>
      <c r="Q1" s="379"/>
      <c r="R1" s="379"/>
      <c r="S1" s="379"/>
      <c r="T1" s="380"/>
      <c r="U1" s="380"/>
      <c r="V1" s="380"/>
      <c r="W1" s="378"/>
      <c r="X1" s="381"/>
      <c r="Y1" s="378"/>
      <c r="Z1" s="378"/>
      <c r="AD1" s="382" t="s">
        <v>133</v>
      </c>
      <c r="AE1" s="383"/>
      <c r="AF1" s="383"/>
      <c r="AG1" s="383"/>
      <c r="AH1" s="383"/>
      <c r="AI1" s="383"/>
      <c r="AJ1" s="383"/>
      <c r="AK1" s="383"/>
      <c r="AL1" s="383"/>
      <c r="AM1" s="383"/>
      <c r="AN1" s="383"/>
      <c r="AO1" s="384"/>
      <c r="AP1" s="384"/>
    </row>
    <row r="2" spans="1:42" x14ac:dyDescent="0.2">
      <c r="A2" s="385"/>
      <c r="F2" s="378"/>
      <c r="L2" s="386"/>
      <c r="M2" s="386"/>
      <c r="N2" s="386"/>
      <c r="O2" s="378"/>
      <c r="P2" s="378"/>
      <c r="Q2" s="378"/>
      <c r="R2" s="387" t="s">
        <v>292</v>
      </c>
      <c r="S2" s="378"/>
      <c r="T2" s="386"/>
      <c r="U2" s="386"/>
      <c r="V2" s="386"/>
      <c r="W2" s="388">
        <v>1</v>
      </c>
      <c r="X2" s="389" t="s">
        <v>293</v>
      </c>
      <c r="Y2" s="378"/>
      <c r="Z2" s="378"/>
      <c r="AA2" s="378"/>
      <c r="AB2" s="378"/>
      <c r="AE2" s="378"/>
      <c r="AG2" s="378"/>
      <c r="AH2" s="378"/>
      <c r="AI2" s="378"/>
      <c r="AJ2" s="378"/>
      <c r="AK2" s="378"/>
      <c r="AL2" s="378"/>
      <c r="AM2" s="378"/>
      <c r="AN2" s="378"/>
    </row>
    <row r="3" spans="1:42" x14ac:dyDescent="0.2">
      <c r="A3" s="385"/>
      <c r="F3" s="378"/>
      <c r="L3" s="378"/>
      <c r="M3" s="378"/>
      <c r="N3" s="378"/>
      <c r="O3" s="378"/>
      <c r="P3" s="378"/>
      <c r="Q3" s="378"/>
      <c r="R3" s="390" t="s">
        <v>294</v>
      </c>
      <c r="S3" s="378"/>
      <c r="T3" s="378"/>
      <c r="U3" s="378"/>
      <c r="V3" s="378"/>
      <c r="W3" s="388">
        <v>0.5</v>
      </c>
      <c r="X3" s="389" t="s">
        <v>293</v>
      </c>
      <c r="Y3" s="378"/>
      <c r="Z3" s="378"/>
      <c r="AA3" s="378"/>
      <c r="AB3" s="378"/>
      <c r="AE3" s="386"/>
      <c r="AF3" s="386"/>
      <c r="AG3" s="386"/>
      <c r="AH3" s="391"/>
      <c r="AI3" s="386"/>
      <c r="AJ3" s="386"/>
      <c r="AK3" s="386"/>
      <c r="AL3" s="386"/>
      <c r="AM3" s="386"/>
      <c r="AN3" s="386"/>
      <c r="AO3" s="386"/>
      <c r="AP3" s="386"/>
    </row>
    <row r="4" spans="1:42" x14ac:dyDescent="0.2">
      <c r="F4" s="378"/>
      <c r="L4" s="378"/>
      <c r="M4" s="378"/>
      <c r="N4" s="378"/>
      <c r="O4" s="378"/>
      <c r="P4" s="378"/>
      <c r="Q4" s="378"/>
      <c r="R4" s="392" t="s">
        <v>295</v>
      </c>
      <c r="S4" s="378"/>
      <c r="T4" s="378"/>
      <c r="U4" s="378"/>
      <c r="V4" s="378"/>
      <c r="W4" s="388">
        <v>0</v>
      </c>
      <c r="X4" s="389" t="s">
        <v>293</v>
      </c>
      <c r="Y4" s="378"/>
      <c r="Z4" s="378"/>
      <c r="AA4" s="378"/>
      <c r="AB4" s="378"/>
    </row>
    <row r="5" spans="1:42" x14ac:dyDescent="0.2">
      <c r="F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W5" s="378"/>
      <c r="X5" s="378"/>
      <c r="Y5" s="378"/>
      <c r="Z5" s="378"/>
      <c r="AA5" s="378"/>
      <c r="AB5" s="393" t="s">
        <v>296</v>
      </c>
      <c r="AD5" s="394" t="s">
        <v>297</v>
      </c>
    </row>
    <row r="6" spans="1:42" x14ac:dyDescent="0.2">
      <c r="A6" s="395" t="s">
        <v>157</v>
      </c>
      <c r="B6" s="395" t="s">
        <v>156</v>
      </c>
      <c r="C6" s="396" t="s">
        <v>298</v>
      </c>
      <c r="D6" s="397"/>
      <c r="E6" s="397"/>
      <c r="F6" s="398"/>
      <c r="G6" s="396" t="s">
        <v>299</v>
      </c>
      <c r="H6" s="397"/>
      <c r="I6" s="397"/>
      <c r="J6" s="398"/>
      <c r="K6" s="396" t="s">
        <v>300</v>
      </c>
      <c r="L6" s="397"/>
      <c r="M6" s="397"/>
      <c r="N6" s="398"/>
      <c r="O6" s="396" t="s">
        <v>301</v>
      </c>
      <c r="P6" s="397"/>
      <c r="Q6" s="397"/>
      <c r="R6" s="398"/>
      <c r="S6" s="396" t="s">
        <v>302</v>
      </c>
      <c r="T6" s="397"/>
      <c r="U6" s="397"/>
      <c r="V6" s="398"/>
      <c r="W6" s="395" t="s">
        <v>142</v>
      </c>
      <c r="X6" s="399" t="s">
        <v>303</v>
      </c>
      <c r="Y6" s="395" t="s">
        <v>304</v>
      </c>
      <c r="Z6" s="399"/>
      <c r="AA6" s="400" t="s">
        <v>305</v>
      </c>
      <c r="AB6" s="401"/>
      <c r="AC6" s="402" t="s">
        <v>306</v>
      </c>
      <c r="AD6" s="403" t="s">
        <v>261</v>
      </c>
      <c r="AE6" s="404"/>
      <c r="AF6" s="404" t="s">
        <v>307</v>
      </c>
      <c r="AG6" s="404"/>
      <c r="AH6" s="405" t="s">
        <v>308</v>
      </c>
      <c r="AI6" s="404"/>
      <c r="AJ6" s="404" t="s">
        <v>309</v>
      </c>
      <c r="AK6" s="406"/>
      <c r="AL6" s="404" t="s">
        <v>310</v>
      </c>
      <c r="AM6" s="406"/>
      <c r="AN6" s="406" t="s">
        <v>311</v>
      </c>
      <c r="AO6" s="407"/>
      <c r="AP6" s="406" t="s">
        <v>312</v>
      </c>
    </row>
    <row r="7" spans="1:42" x14ac:dyDescent="0.2">
      <c r="A7" s="408">
        <v>1</v>
      </c>
      <c r="B7" s="409" t="s">
        <v>441</v>
      </c>
      <c r="C7" s="410">
        <v>13</v>
      </c>
      <c r="D7" s="411" t="s">
        <v>313</v>
      </c>
      <c r="E7" s="411">
        <v>1</v>
      </c>
      <c r="F7" s="412" t="s">
        <v>442</v>
      </c>
      <c r="G7" s="410">
        <v>12</v>
      </c>
      <c r="H7" s="411" t="s">
        <v>313</v>
      </c>
      <c r="I7" s="411">
        <v>11</v>
      </c>
      <c r="J7" s="412" t="s">
        <v>324</v>
      </c>
      <c r="K7" s="410">
        <v>13</v>
      </c>
      <c r="L7" s="411" t="s">
        <v>313</v>
      </c>
      <c r="M7" s="411">
        <v>5</v>
      </c>
      <c r="N7" s="412" t="s">
        <v>322</v>
      </c>
      <c r="O7" s="410">
        <v>13</v>
      </c>
      <c r="P7" s="411" t="s">
        <v>313</v>
      </c>
      <c r="Q7" s="411">
        <v>5</v>
      </c>
      <c r="R7" s="412" t="s">
        <v>387</v>
      </c>
      <c r="S7" s="410"/>
      <c r="T7" s="411"/>
      <c r="U7" s="411"/>
      <c r="V7" s="412"/>
      <c r="W7" s="413">
        <f t="shared" ref="W7:W19" si="0">IF(C7&gt;E7,W$2,IF(C7&lt;E7,W$4,IF(ISNUMBER(C7),W$3,0)))+IF(G7&gt;I7,W$2,IF(G7&lt;I7,W$4,IF(ISNUMBER(G7),W$3,0)))+IF(K7&gt;M7,W$2,IF(K7&lt;M7,W$4,IF(ISNUMBER(K7),W$3,0)))+IF(O7&gt;Q7,W$2,IF(O7&lt;Q7,W$4,IF(ISNUMBER(O7),W$3,0)))+IF(S7&gt;U7,W$2,IF(S7&lt;U7,W$4,IF(ISNUMBER(S7),W$3,0)))</f>
        <v>4</v>
      </c>
      <c r="X7" s="414">
        <v>20</v>
      </c>
      <c r="Y7" s="414">
        <v>72</v>
      </c>
      <c r="Z7" s="410">
        <f t="shared" ref="Z7:Z19" si="1">C7+G7+K7+O7+S7</f>
        <v>51</v>
      </c>
      <c r="AA7" s="411" t="s">
        <v>313</v>
      </c>
      <c r="AB7" s="415">
        <f t="shared" ref="AB7:AB19" si="2">E7+I7+M7+Q7+U7</f>
        <v>22</v>
      </c>
      <c r="AC7" s="416">
        <f t="shared" ref="AC7:AC19" si="3">Z7-AB7</f>
        <v>29</v>
      </c>
      <c r="AD7" s="417">
        <f t="shared" ref="AD7:AD10" si="4">SUM(AE7:AL7)</f>
        <v>440</v>
      </c>
      <c r="AE7" s="418">
        <f>IFERROR(INDEX(V!$R:$R,MATCH(AF7,V!$L:$L,0)),"")</f>
        <v>234</v>
      </c>
      <c r="AF7" s="419" t="str">
        <f t="shared" ref="AF7:AF22" si="5">IFERROR(LEFT($B7,(FIND(",",$B7,1)-1)),"")</f>
        <v>Kenneth Muusikus</v>
      </c>
      <c r="AG7" s="418" t="str">
        <f>IFERROR(INDEX(V!$R:$R,MATCH(AH7,V!$L:$L,0)),"")</f>
        <v/>
      </c>
      <c r="AH7" s="419" t="str">
        <f t="shared" ref="AH7:AH22" si="6">IFERROR(MID($B7,FIND(", ",$B7)+2,256),"")</f>
        <v>Oliver Ojasalu, Tõnis Neiland</v>
      </c>
      <c r="AI7" s="418">
        <f>IFERROR(INDEX(V!$R:$R,MATCH(AJ7,V!$L:$L,0)),"")</f>
        <v>76</v>
      </c>
      <c r="AJ7" s="419" t="str">
        <f t="shared" ref="AJ7:AJ22" si="7">IFERROR(MID($B7,FIND("^",SUBSTITUTE($B7,", ","^",1))+2,FIND("^",SUBSTITUTE($B7,", ","^",2))-FIND("^",SUBSTITUTE($B7,", ","^",1))-2),"")</f>
        <v>Oliver Ojasalu</v>
      </c>
      <c r="AK7" s="418">
        <f>IFERROR(INDEX(V!$R:$R,MATCH(AL7,V!$L:$L,0)),"")</f>
        <v>130</v>
      </c>
      <c r="AL7" s="419" t="str">
        <f t="shared" ref="AL7:AL22" si="8">IFERROR(MID($B7,FIND(", ",$B7,FIND(", ",$B7,FIND(", ",$B7))+1)+2,30000),"")</f>
        <v>Tõnis Neiland</v>
      </c>
      <c r="AM7" s="418" t="str">
        <f>IFERROR(INDEX(V!$R:$R,MATCH(AN7,V!$L:$L,0)),"")</f>
        <v/>
      </c>
      <c r="AN7" s="419" t="str">
        <f t="shared" ref="AN7:AN22" si="9">IFERROR(MID($B7,FIND(", ",$B7,FIND(", ",$B7)+1)+2,FIND(", ",$B7,FIND(", ",$B7,FIND(", ",$B7)+1)+1)-FIND(", ",$B7,FIND(", ",$B7)+1)-2),"")</f>
        <v/>
      </c>
      <c r="AO7" s="418" t="str">
        <f>IFERROR(INDEX(V!$R:$R,MATCH(AP7,V!$L:$L,0)),"")</f>
        <v/>
      </c>
      <c r="AP7" s="419" t="str">
        <f t="shared" ref="AP7:AP22" si="10">IFERROR(MID($B7,FIND(", ",$B7,FIND(", ",$B7,FIND(", ",$B7)+1)+1)+2,30000),"")</f>
        <v/>
      </c>
    </row>
    <row r="8" spans="1:42" x14ac:dyDescent="0.2">
      <c r="A8" s="408">
        <v>2</v>
      </c>
      <c r="B8" s="420" t="s">
        <v>387</v>
      </c>
      <c r="C8" s="410">
        <v>13</v>
      </c>
      <c r="D8" s="411" t="s">
        <v>313</v>
      </c>
      <c r="E8" s="411">
        <v>11</v>
      </c>
      <c r="F8" s="412" t="s">
        <v>406</v>
      </c>
      <c r="G8" s="410">
        <v>11</v>
      </c>
      <c r="H8" s="411" t="s">
        <v>313</v>
      </c>
      <c r="I8" s="411">
        <v>10</v>
      </c>
      <c r="J8" s="412" t="s">
        <v>440</v>
      </c>
      <c r="K8" s="410">
        <v>13</v>
      </c>
      <c r="L8" s="411" t="s">
        <v>313</v>
      </c>
      <c r="M8" s="411">
        <v>5</v>
      </c>
      <c r="N8" s="412" t="s">
        <v>323</v>
      </c>
      <c r="O8" s="410">
        <v>5</v>
      </c>
      <c r="P8" s="411" t="s">
        <v>313</v>
      </c>
      <c r="Q8" s="411">
        <v>13</v>
      </c>
      <c r="R8" s="412" t="s">
        <v>441</v>
      </c>
      <c r="S8" s="410"/>
      <c r="T8" s="411"/>
      <c r="U8" s="411"/>
      <c r="V8" s="412"/>
      <c r="W8" s="413">
        <f t="shared" si="0"/>
        <v>3</v>
      </c>
      <c r="X8" s="414">
        <v>20</v>
      </c>
      <c r="Y8" s="414">
        <v>72</v>
      </c>
      <c r="Z8" s="410">
        <f t="shared" si="1"/>
        <v>42</v>
      </c>
      <c r="AA8" s="411" t="s">
        <v>313</v>
      </c>
      <c r="AB8" s="415">
        <f t="shared" si="2"/>
        <v>39</v>
      </c>
      <c r="AC8" s="416">
        <f t="shared" si="3"/>
        <v>3</v>
      </c>
      <c r="AD8" s="417">
        <f t="shared" si="4"/>
        <v>226</v>
      </c>
      <c r="AE8" s="418">
        <f>IFERROR(INDEX(V!$R:$R,MATCH(AF8,V!$L:$L,0)),"")</f>
        <v>102</v>
      </c>
      <c r="AF8" s="419" t="str">
        <f t="shared" si="5"/>
        <v>Ljudmila Varendi</v>
      </c>
      <c r="AG8" s="418">
        <f>IFERROR(INDEX(V!$R:$R,MATCH(AH8,V!$L:$L,0)),"")</f>
        <v>124</v>
      </c>
      <c r="AH8" s="419" t="str">
        <f t="shared" si="6"/>
        <v>Viktor Švarõgin</v>
      </c>
      <c r="AI8" s="418" t="str">
        <f>IFERROR(INDEX(V!$R:$R,MATCH(AJ8,V!$L:$L,0)),"")</f>
        <v/>
      </c>
      <c r="AJ8" s="419" t="str">
        <f t="shared" si="7"/>
        <v/>
      </c>
      <c r="AK8" s="418" t="str">
        <f>IFERROR(INDEX(V!$R:$R,MATCH(AL8,V!$L:$L,0)),"")</f>
        <v/>
      </c>
      <c r="AL8" s="419" t="str">
        <f t="shared" si="8"/>
        <v/>
      </c>
      <c r="AM8" s="418" t="str">
        <f>IFERROR(INDEX(V!$R:$R,MATCH(AN8,V!$L:$L,0)),"")</f>
        <v/>
      </c>
      <c r="AN8" s="419" t="str">
        <f t="shared" si="9"/>
        <v/>
      </c>
      <c r="AO8" s="418" t="str">
        <f>IFERROR(INDEX(V!$R:$R,MATCH(AP8,V!$L:$L,0)),"")</f>
        <v/>
      </c>
      <c r="AP8" s="419" t="str">
        <f t="shared" si="10"/>
        <v/>
      </c>
    </row>
    <row r="9" spans="1:42" x14ac:dyDescent="0.2">
      <c r="A9" s="408">
        <v>3</v>
      </c>
      <c r="B9" s="421" t="s">
        <v>323</v>
      </c>
      <c r="C9" s="410">
        <v>13</v>
      </c>
      <c r="D9" s="411" t="s">
        <v>313</v>
      </c>
      <c r="E9" s="411">
        <v>6</v>
      </c>
      <c r="F9" s="412" t="s">
        <v>425</v>
      </c>
      <c r="G9" s="410">
        <v>13</v>
      </c>
      <c r="H9" s="411" t="s">
        <v>313</v>
      </c>
      <c r="I9" s="411">
        <v>5</v>
      </c>
      <c r="J9" s="412" t="s">
        <v>420</v>
      </c>
      <c r="K9" s="410">
        <v>5</v>
      </c>
      <c r="L9" s="411" t="s">
        <v>313</v>
      </c>
      <c r="M9" s="411">
        <v>13</v>
      </c>
      <c r="N9" s="412" t="s">
        <v>387</v>
      </c>
      <c r="O9" s="410">
        <v>13</v>
      </c>
      <c r="P9" s="411" t="s">
        <v>313</v>
      </c>
      <c r="Q9" s="411">
        <v>5</v>
      </c>
      <c r="R9" s="412" t="s">
        <v>322</v>
      </c>
      <c r="S9" s="410"/>
      <c r="T9" s="411"/>
      <c r="U9" s="411"/>
      <c r="V9" s="412"/>
      <c r="W9" s="413">
        <f t="shared" si="0"/>
        <v>3</v>
      </c>
      <c r="X9" s="414">
        <v>18</v>
      </c>
      <c r="Y9" s="414">
        <v>76</v>
      </c>
      <c r="Z9" s="410">
        <f t="shared" si="1"/>
        <v>44</v>
      </c>
      <c r="AA9" s="411" t="s">
        <v>313</v>
      </c>
      <c r="AB9" s="415">
        <f t="shared" si="2"/>
        <v>29</v>
      </c>
      <c r="AC9" s="416">
        <f t="shared" si="3"/>
        <v>15</v>
      </c>
      <c r="AD9" s="417">
        <f t="shared" si="4"/>
        <v>308</v>
      </c>
      <c r="AE9" s="418">
        <f>IFERROR(INDEX(V!$R:$R,MATCH(AF9,V!$L:$L,0)),"")</f>
        <v>154</v>
      </c>
      <c r="AF9" s="419" t="str">
        <f t="shared" si="5"/>
        <v>Kristel Tihhonjuk</v>
      </c>
      <c r="AG9" s="418">
        <f>IFERROR(INDEX(V!$R:$R,MATCH(AH9,V!$L:$L,0)),"")</f>
        <v>154</v>
      </c>
      <c r="AH9" s="419" t="str">
        <f t="shared" si="6"/>
        <v>Vadim Tihhonjuk</v>
      </c>
      <c r="AI9" s="418" t="str">
        <f>IFERROR(INDEX(V!$R:$R,MATCH(AJ9,V!$L:$L,0)),"")</f>
        <v/>
      </c>
      <c r="AJ9" s="419" t="str">
        <f t="shared" si="7"/>
        <v/>
      </c>
      <c r="AK9" s="418" t="str">
        <f>IFERROR(INDEX(V!$R:$R,MATCH(AL9,V!$L:$L,0)),"")</f>
        <v/>
      </c>
      <c r="AL9" s="419" t="str">
        <f t="shared" si="8"/>
        <v/>
      </c>
      <c r="AM9" s="418" t="str">
        <f>IFERROR(INDEX(V!$R:$R,MATCH(AN9,V!$L:$L,0)),"")</f>
        <v/>
      </c>
      <c r="AN9" s="419" t="str">
        <f t="shared" si="9"/>
        <v/>
      </c>
      <c r="AO9" s="418" t="str">
        <f>IFERROR(INDEX(V!$R:$R,MATCH(AP9,V!$L:$L,0)),"")</f>
        <v/>
      </c>
      <c r="AP9" s="419" t="str">
        <f t="shared" si="10"/>
        <v/>
      </c>
    </row>
    <row r="10" spans="1:42" x14ac:dyDescent="0.2">
      <c r="A10" s="408">
        <v>4</v>
      </c>
      <c r="B10" s="421" t="s">
        <v>425</v>
      </c>
      <c r="C10" s="410">
        <v>6</v>
      </c>
      <c r="D10" s="411" t="s">
        <v>313</v>
      </c>
      <c r="E10" s="411">
        <v>13</v>
      </c>
      <c r="F10" s="412" t="s">
        <v>323</v>
      </c>
      <c r="G10" s="410">
        <v>13</v>
      </c>
      <c r="H10" s="411" t="s">
        <v>313</v>
      </c>
      <c r="I10" s="411">
        <v>4</v>
      </c>
      <c r="J10" s="412" t="s">
        <v>443</v>
      </c>
      <c r="K10" s="410">
        <v>13</v>
      </c>
      <c r="L10" s="411" t="s">
        <v>313</v>
      </c>
      <c r="M10" s="411">
        <v>8</v>
      </c>
      <c r="N10" s="412" t="s">
        <v>406</v>
      </c>
      <c r="O10" s="410">
        <v>13</v>
      </c>
      <c r="P10" s="411" t="s">
        <v>313</v>
      </c>
      <c r="Q10" s="411">
        <v>11</v>
      </c>
      <c r="R10" s="412" t="s">
        <v>321</v>
      </c>
      <c r="S10" s="410"/>
      <c r="T10" s="411"/>
      <c r="U10" s="411"/>
      <c r="V10" s="412"/>
      <c r="W10" s="413">
        <f t="shared" si="0"/>
        <v>3</v>
      </c>
      <c r="X10" s="414">
        <v>16</v>
      </c>
      <c r="Y10" s="414">
        <v>62</v>
      </c>
      <c r="Z10" s="410">
        <f t="shared" si="1"/>
        <v>45</v>
      </c>
      <c r="AA10" s="411" t="s">
        <v>313</v>
      </c>
      <c r="AB10" s="415">
        <f t="shared" si="2"/>
        <v>36</v>
      </c>
      <c r="AC10" s="416">
        <f t="shared" si="3"/>
        <v>9</v>
      </c>
      <c r="AD10" s="417">
        <f t="shared" si="4"/>
        <v>190</v>
      </c>
      <c r="AE10" s="418">
        <f>IFERROR(INDEX(V!$R:$R,MATCH(AF10,V!$L:$L,0)),"")</f>
        <v>108</v>
      </c>
      <c r="AF10" s="419" t="str">
        <f t="shared" si="5"/>
        <v>Marko Rooden</v>
      </c>
      <c r="AG10" s="418">
        <f>IFERROR(INDEX(V!$R:$R,MATCH(AH10,V!$L:$L,0)),"")</f>
        <v>82</v>
      </c>
      <c r="AH10" s="419" t="str">
        <f t="shared" si="6"/>
        <v>Martin Kuusmann</v>
      </c>
      <c r="AI10" s="418" t="str">
        <f>IFERROR(INDEX(V!$R:$R,MATCH(AJ10,V!$L:$L,0)),"")</f>
        <v/>
      </c>
      <c r="AJ10" s="419" t="str">
        <f t="shared" si="7"/>
        <v/>
      </c>
      <c r="AK10" s="418" t="str">
        <f>IFERROR(INDEX(V!$R:$R,MATCH(AL10,V!$L:$L,0)),"")</f>
        <v/>
      </c>
      <c r="AL10" s="419" t="str">
        <f t="shared" si="8"/>
        <v/>
      </c>
      <c r="AM10" s="418" t="str">
        <f>IFERROR(INDEX(V!$R:$R,MATCH(AN10,V!$L:$L,0)),"")</f>
        <v/>
      </c>
      <c r="AN10" s="419" t="str">
        <f t="shared" si="9"/>
        <v/>
      </c>
      <c r="AO10" s="418" t="str">
        <f>IFERROR(INDEX(V!$R:$R,MATCH(AP10,V!$L:$L,0)),"")</f>
        <v/>
      </c>
      <c r="AP10" s="419" t="str">
        <f t="shared" si="10"/>
        <v/>
      </c>
    </row>
    <row r="11" spans="1:42" x14ac:dyDescent="0.2">
      <c r="A11" s="408">
        <v>5</v>
      </c>
      <c r="B11" s="420" t="s">
        <v>442</v>
      </c>
      <c r="C11" s="410">
        <v>1</v>
      </c>
      <c r="D11" s="411" t="s">
        <v>313</v>
      </c>
      <c r="E11" s="411">
        <v>13</v>
      </c>
      <c r="F11" s="412" t="s">
        <v>441</v>
      </c>
      <c r="G11" s="410">
        <v>12</v>
      </c>
      <c r="H11" s="411" t="s">
        <v>313</v>
      </c>
      <c r="I11" s="411">
        <v>7</v>
      </c>
      <c r="J11" s="412" t="s">
        <v>439</v>
      </c>
      <c r="K11" s="410">
        <v>13</v>
      </c>
      <c r="L11" s="411" t="s">
        <v>313</v>
      </c>
      <c r="M11" s="411">
        <v>8</v>
      </c>
      <c r="N11" s="412" t="s">
        <v>420</v>
      </c>
      <c r="O11" s="410">
        <v>13</v>
      </c>
      <c r="P11" s="411" t="s">
        <v>313</v>
      </c>
      <c r="Q11" s="411">
        <v>9</v>
      </c>
      <c r="R11" s="412" t="s">
        <v>324</v>
      </c>
      <c r="S11" s="410"/>
      <c r="T11" s="411"/>
      <c r="U11" s="411"/>
      <c r="V11" s="412"/>
      <c r="W11" s="413">
        <f t="shared" si="0"/>
        <v>3</v>
      </c>
      <c r="X11" s="414">
        <v>14</v>
      </c>
      <c r="Y11" s="414">
        <v>74</v>
      </c>
      <c r="Z11" s="410">
        <f t="shared" si="1"/>
        <v>39</v>
      </c>
      <c r="AA11" s="411" t="s">
        <v>313</v>
      </c>
      <c r="AB11" s="415">
        <f t="shared" si="2"/>
        <v>37</v>
      </c>
      <c r="AC11" s="416">
        <f t="shared" si="3"/>
        <v>2</v>
      </c>
      <c r="AD11" s="417">
        <f t="shared" ref="AD11:AD13" si="11">SUM(AE11:AL11)</f>
        <v>48</v>
      </c>
      <c r="AE11" s="418">
        <f>IFERROR(INDEX(V!$R:$R,MATCH(AF11,V!$L:$L,0)),"")</f>
        <v>24</v>
      </c>
      <c r="AF11" s="419" t="str">
        <f t="shared" si="5"/>
        <v>Aigi Orro</v>
      </c>
      <c r="AG11" s="418">
        <f>IFERROR(INDEX(V!$R:$R,MATCH(AH11,V!$L:$L,0)),"")</f>
        <v>24</v>
      </c>
      <c r="AH11" s="419" t="str">
        <f t="shared" si="6"/>
        <v>Kalle Orro</v>
      </c>
      <c r="AI11" s="418" t="str">
        <f>IFERROR(INDEX(V!$R:$R,MATCH(AJ11,V!$L:$L,0)),"")</f>
        <v/>
      </c>
      <c r="AJ11" s="419" t="str">
        <f t="shared" si="7"/>
        <v/>
      </c>
      <c r="AK11" s="418" t="str">
        <f>IFERROR(INDEX(V!$R:$R,MATCH(AL11,V!$L:$L,0)),"")</f>
        <v/>
      </c>
      <c r="AL11" s="419" t="str">
        <f t="shared" si="8"/>
        <v/>
      </c>
      <c r="AM11" s="418" t="str">
        <f>IFERROR(INDEX(V!$R:$R,MATCH(AN11,V!$L:$L,0)),"")</f>
        <v/>
      </c>
      <c r="AN11" s="419" t="str">
        <f t="shared" si="9"/>
        <v/>
      </c>
      <c r="AO11" s="418" t="str">
        <f>IFERROR(INDEX(V!$R:$R,MATCH(AP11,V!$L:$L,0)),"")</f>
        <v/>
      </c>
      <c r="AP11" s="419" t="str">
        <f t="shared" si="10"/>
        <v/>
      </c>
    </row>
    <row r="12" spans="1:42" x14ac:dyDescent="0.2">
      <c r="A12" s="408">
        <v>6</v>
      </c>
      <c r="B12" s="421" t="s">
        <v>322</v>
      </c>
      <c r="C12" s="410">
        <v>13</v>
      </c>
      <c r="D12" s="411" t="s">
        <v>313</v>
      </c>
      <c r="E12" s="411">
        <v>11</v>
      </c>
      <c r="F12" s="412" t="s">
        <v>428</v>
      </c>
      <c r="G12" s="410">
        <v>13</v>
      </c>
      <c r="H12" s="411" t="s">
        <v>313</v>
      </c>
      <c r="I12" s="411">
        <v>9</v>
      </c>
      <c r="J12" s="412" t="s">
        <v>321</v>
      </c>
      <c r="K12" s="410">
        <v>5</v>
      </c>
      <c r="L12" s="411" t="s">
        <v>313</v>
      </c>
      <c r="M12" s="411">
        <v>13</v>
      </c>
      <c r="N12" s="412" t="s">
        <v>441</v>
      </c>
      <c r="O12" s="410">
        <v>5</v>
      </c>
      <c r="P12" s="411" t="s">
        <v>313</v>
      </c>
      <c r="Q12" s="411">
        <v>13</v>
      </c>
      <c r="R12" s="412" t="s">
        <v>323</v>
      </c>
      <c r="S12" s="410"/>
      <c r="T12" s="411"/>
      <c r="U12" s="411"/>
      <c r="V12" s="412"/>
      <c r="W12" s="413">
        <f t="shared" si="0"/>
        <v>2</v>
      </c>
      <c r="X12" s="414">
        <v>20</v>
      </c>
      <c r="Y12" s="414">
        <v>64</v>
      </c>
      <c r="Z12" s="410">
        <f t="shared" si="1"/>
        <v>36</v>
      </c>
      <c r="AA12" s="411" t="s">
        <v>313</v>
      </c>
      <c r="AB12" s="415">
        <f t="shared" si="2"/>
        <v>46</v>
      </c>
      <c r="AC12" s="416">
        <f t="shared" si="3"/>
        <v>-10</v>
      </c>
      <c r="AD12" s="417">
        <f t="shared" si="11"/>
        <v>302</v>
      </c>
      <c r="AE12" s="418">
        <f>IFERROR(INDEX(V!$R:$R,MATCH(AF12,V!$L:$L,0)),"")</f>
        <v>152</v>
      </c>
      <c r="AF12" s="419" t="str">
        <f t="shared" si="5"/>
        <v>Andrei Grintšak</v>
      </c>
      <c r="AG12" s="418">
        <f>IFERROR(INDEX(V!$R:$R,MATCH(AH12,V!$L:$L,0)),"")</f>
        <v>150</v>
      </c>
      <c r="AH12" s="419" t="str">
        <f t="shared" si="6"/>
        <v>Enn Tokman</v>
      </c>
      <c r="AI12" s="418" t="str">
        <f>IFERROR(INDEX(V!$R:$R,MATCH(AJ12,V!$L:$L,0)),"")</f>
        <v/>
      </c>
      <c r="AJ12" s="419" t="str">
        <f t="shared" si="7"/>
        <v/>
      </c>
      <c r="AK12" s="418" t="str">
        <f>IFERROR(INDEX(V!$R:$R,MATCH(AL12,V!$L:$L,0)),"")</f>
        <v/>
      </c>
      <c r="AL12" s="419" t="str">
        <f t="shared" si="8"/>
        <v/>
      </c>
      <c r="AM12" s="418" t="str">
        <f>IFERROR(INDEX(V!$R:$R,MATCH(AN12,V!$L:$L,0)),"")</f>
        <v/>
      </c>
      <c r="AN12" s="419" t="str">
        <f t="shared" si="9"/>
        <v/>
      </c>
      <c r="AO12" s="418" t="str">
        <f>IFERROR(INDEX(V!$R:$R,MATCH(AP12,V!$L:$L,0)),"")</f>
        <v/>
      </c>
      <c r="AP12" s="419" t="str">
        <f t="shared" si="10"/>
        <v/>
      </c>
    </row>
    <row r="13" spans="1:42" x14ac:dyDescent="0.2">
      <c r="A13" s="408">
        <v>7</v>
      </c>
      <c r="B13" s="422" t="s">
        <v>324</v>
      </c>
      <c r="C13" s="410">
        <v>13</v>
      </c>
      <c r="D13" s="411" t="s">
        <v>313</v>
      </c>
      <c r="E13" s="411">
        <v>2</v>
      </c>
      <c r="F13" s="412" t="s">
        <v>439</v>
      </c>
      <c r="G13" s="410">
        <v>11</v>
      </c>
      <c r="H13" s="411" t="s">
        <v>313</v>
      </c>
      <c r="I13" s="411">
        <v>12</v>
      </c>
      <c r="J13" s="412" t="s">
        <v>441</v>
      </c>
      <c r="K13" s="410">
        <v>13</v>
      </c>
      <c r="L13" s="411" t="s">
        <v>313</v>
      </c>
      <c r="M13" s="411">
        <v>2</v>
      </c>
      <c r="N13" s="412" t="s">
        <v>440</v>
      </c>
      <c r="O13" s="410">
        <v>9</v>
      </c>
      <c r="P13" s="411" t="s">
        <v>313</v>
      </c>
      <c r="Q13" s="411">
        <v>13</v>
      </c>
      <c r="R13" s="412" t="s">
        <v>442</v>
      </c>
      <c r="S13" s="410"/>
      <c r="T13" s="411"/>
      <c r="U13" s="411"/>
      <c r="V13" s="412"/>
      <c r="W13" s="413">
        <f t="shared" si="0"/>
        <v>2</v>
      </c>
      <c r="X13" s="414">
        <v>18</v>
      </c>
      <c r="Y13" s="414">
        <v>66</v>
      </c>
      <c r="Z13" s="410">
        <f t="shared" si="1"/>
        <v>46</v>
      </c>
      <c r="AA13" s="411" t="s">
        <v>313</v>
      </c>
      <c r="AB13" s="415">
        <f t="shared" si="2"/>
        <v>29</v>
      </c>
      <c r="AC13" s="416">
        <f t="shared" si="3"/>
        <v>17</v>
      </c>
      <c r="AD13" s="417">
        <f t="shared" si="11"/>
        <v>332</v>
      </c>
      <c r="AE13" s="418">
        <f>IFERROR(INDEX(V!$R:$R,MATCH(AF13,V!$L:$L,0)),"")</f>
        <v>166</v>
      </c>
      <c r="AF13" s="419" t="str">
        <f t="shared" si="5"/>
        <v>Oleg Rõndenkov</v>
      </c>
      <c r="AG13" s="418">
        <f>IFERROR(INDEX(V!$R:$R,MATCH(AH13,V!$L:$L,0)),"")</f>
        <v>166</v>
      </c>
      <c r="AH13" s="419" t="str">
        <f t="shared" si="6"/>
        <v>Sander Rose</v>
      </c>
      <c r="AI13" s="418" t="str">
        <f>IFERROR(INDEX(V!$R:$R,MATCH(AJ13,V!$L:$L,0)),"")</f>
        <v/>
      </c>
      <c r="AJ13" s="419" t="str">
        <f t="shared" si="7"/>
        <v/>
      </c>
      <c r="AK13" s="418" t="str">
        <f>IFERROR(INDEX(V!$R:$R,MATCH(AL13,V!$L:$L,0)),"")</f>
        <v/>
      </c>
      <c r="AL13" s="419" t="str">
        <f t="shared" si="8"/>
        <v/>
      </c>
      <c r="AM13" s="418" t="str">
        <f>IFERROR(INDEX(V!$R:$R,MATCH(AN13,V!$L:$L,0)),"")</f>
        <v/>
      </c>
      <c r="AN13" s="419" t="str">
        <f t="shared" si="9"/>
        <v/>
      </c>
      <c r="AO13" s="418" t="str">
        <f>IFERROR(INDEX(V!$R:$R,MATCH(AP13,V!$L:$L,0)),"")</f>
        <v/>
      </c>
      <c r="AP13" s="419" t="str">
        <f t="shared" si="10"/>
        <v/>
      </c>
    </row>
    <row r="14" spans="1:42" x14ac:dyDescent="0.2">
      <c r="A14" s="408">
        <v>8</v>
      </c>
      <c r="B14" s="422" t="s">
        <v>440</v>
      </c>
      <c r="C14" s="410">
        <v>13</v>
      </c>
      <c r="D14" s="411" t="s">
        <v>313</v>
      </c>
      <c r="E14" s="411">
        <v>11</v>
      </c>
      <c r="F14" s="412" t="s">
        <v>386</v>
      </c>
      <c r="G14" s="410">
        <v>10</v>
      </c>
      <c r="H14" s="411" t="s">
        <v>313</v>
      </c>
      <c r="I14" s="411">
        <v>11</v>
      </c>
      <c r="J14" s="412" t="s">
        <v>387</v>
      </c>
      <c r="K14" s="410">
        <v>2</v>
      </c>
      <c r="L14" s="411" t="s">
        <v>313</v>
      </c>
      <c r="M14" s="411">
        <v>13</v>
      </c>
      <c r="N14" s="412" t="s">
        <v>324</v>
      </c>
      <c r="O14" s="410">
        <v>13</v>
      </c>
      <c r="P14" s="411" t="s">
        <v>313</v>
      </c>
      <c r="Q14" s="411">
        <v>7</v>
      </c>
      <c r="R14" s="412" t="s">
        <v>406</v>
      </c>
      <c r="S14" s="410"/>
      <c r="T14" s="411"/>
      <c r="U14" s="411"/>
      <c r="V14" s="412"/>
      <c r="W14" s="413">
        <f t="shared" si="0"/>
        <v>2</v>
      </c>
      <c r="X14" s="414">
        <v>16</v>
      </c>
      <c r="Y14" s="414">
        <v>68</v>
      </c>
      <c r="Z14" s="410">
        <f t="shared" si="1"/>
        <v>38</v>
      </c>
      <c r="AA14" s="411" t="s">
        <v>313</v>
      </c>
      <c r="AB14" s="415">
        <f t="shared" si="2"/>
        <v>42</v>
      </c>
      <c r="AC14" s="416">
        <f t="shared" si="3"/>
        <v>-4</v>
      </c>
      <c r="AD14" s="417">
        <f t="shared" ref="AD14:AD15" si="12">SUM(AE14:AL14)</f>
        <v>194</v>
      </c>
      <c r="AE14" s="418">
        <f>IFERROR(INDEX(V!$R:$R,MATCH(AF14,V!$L:$L,0)),"")</f>
        <v>156</v>
      </c>
      <c r="AF14" s="419" t="str">
        <f t="shared" si="5"/>
        <v>Aleksander Korikov</v>
      </c>
      <c r="AG14" s="418">
        <f>IFERROR(INDEX(V!$R:$R,MATCH(AH14,V!$L:$L,0)),"")</f>
        <v>38</v>
      </c>
      <c r="AH14" s="419" t="str">
        <f t="shared" si="6"/>
        <v>Jevgeni Korikov</v>
      </c>
      <c r="AI14" s="418" t="str">
        <f>IFERROR(INDEX(V!$R:$R,MATCH(AJ14,V!$L:$L,0)),"")</f>
        <v/>
      </c>
      <c r="AJ14" s="419" t="str">
        <f t="shared" si="7"/>
        <v/>
      </c>
      <c r="AK14" s="418" t="str">
        <f>IFERROR(INDEX(V!$R:$R,MATCH(AL14,V!$L:$L,0)),"")</f>
        <v/>
      </c>
      <c r="AL14" s="419" t="str">
        <f t="shared" si="8"/>
        <v/>
      </c>
      <c r="AM14" s="418" t="str">
        <f>IFERROR(INDEX(V!$R:$R,MATCH(AN14,V!$L:$L,0)),"")</f>
        <v/>
      </c>
      <c r="AN14" s="419" t="str">
        <f t="shared" si="9"/>
        <v/>
      </c>
      <c r="AO14" s="418" t="str">
        <f>IFERROR(INDEX(V!$R:$R,MATCH(AP14,V!$L:$L,0)),"")</f>
        <v/>
      </c>
      <c r="AP14" s="419" t="str">
        <f t="shared" si="10"/>
        <v/>
      </c>
    </row>
    <row r="15" spans="1:42" x14ac:dyDescent="0.2">
      <c r="A15" s="408">
        <v>9</v>
      </c>
      <c r="B15" s="421" t="s">
        <v>321</v>
      </c>
      <c r="C15" s="410">
        <v>13</v>
      </c>
      <c r="D15" s="411" t="s">
        <v>313</v>
      </c>
      <c r="E15" s="411">
        <v>7</v>
      </c>
      <c r="F15" s="412" t="s">
        <v>444</v>
      </c>
      <c r="G15" s="410">
        <v>9</v>
      </c>
      <c r="H15" s="411" t="s">
        <v>313</v>
      </c>
      <c r="I15" s="411">
        <v>13</v>
      </c>
      <c r="J15" s="412" t="s">
        <v>322</v>
      </c>
      <c r="K15" s="410">
        <v>13</v>
      </c>
      <c r="L15" s="411" t="s">
        <v>313</v>
      </c>
      <c r="M15" s="411">
        <v>4</v>
      </c>
      <c r="N15" s="412" t="s">
        <v>386</v>
      </c>
      <c r="O15" s="410">
        <v>11</v>
      </c>
      <c r="P15" s="411" t="s">
        <v>313</v>
      </c>
      <c r="Q15" s="411">
        <v>13</v>
      </c>
      <c r="R15" s="412" t="s">
        <v>425</v>
      </c>
      <c r="S15" s="410"/>
      <c r="T15" s="411"/>
      <c r="U15" s="411"/>
      <c r="V15" s="412"/>
      <c r="W15" s="413">
        <f t="shared" si="0"/>
        <v>2</v>
      </c>
      <c r="X15" s="414">
        <v>16</v>
      </c>
      <c r="Y15" s="414">
        <v>60</v>
      </c>
      <c r="Z15" s="410">
        <f t="shared" si="1"/>
        <v>46</v>
      </c>
      <c r="AA15" s="411" t="s">
        <v>313</v>
      </c>
      <c r="AB15" s="415">
        <f t="shared" si="2"/>
        <v>37</v>
      </c>
      <c r="AC15" s="416">
        <f t="shared" si="3"/>
        <v>9</v>
      </c>
      <c r="AD15" s="417">
        <f t="shared" si="12"/>
        <v>272</v>
      </c>
      <c r="AE15" s="418">
        <f>IFERROR(INDEX(V!$R:$R,MATCH(AF15,V!$L:$L,0)),"")</f>
        <v>130</v>
      </c>
      <c r="AF15" s="419" t="str">
        <f t="shared" si="5"/>
        <v>Kaspar Mänd</v>
      </c>
      <c r="AG15" s="418">
        <f>IFERROR(INDEX(V!$R:$R,MATCH(AH15,V!$L:$L,0)),"")</f>
        <v>142</v>
      </c>
      <c r="AH15" s="419" t="str">
        <f t="shared" si="6"/>
        <v>Olav Türk</v>
      </c>
      <c r="AI15" s="418" t="str">
        <f>IFERROR(INDEX(V!$R:$R,MATCH(AJ15,V!$L:$L,0)),"")</f>
        <v/>
      </c>
      <c r="AJ15" s="419" t="str">
        <f t="shared" si="7"/>
        <v/>
      </c>
      <c r="AK15" s="418" t="str">
        <f>IFERROR(INDEX(V!$R:$R,MATCH(AL15,V!$L:$L,0)),"")</f>
        <v/>
      </c>
      <c r="AL15" s="419" t="str">
        <f t="shared" si="8"/>
        <v/>
      </c>
      <c r="AM15" s="418" t="str">
        <f>IFERROR(INDEX(V!$R:$R,MATCH(AN15,V!$L:$L,0)),"")</f>
        <v/>
      </c>
      <c r="AN15" s="419" t="str">
        <f t="shared" si="9"/>
        <v/>
      </c>
      <c r="AO15" s="418" t="str">
        <f>IFERROR(INDEX(V!$R:$R,MATCH(AP15,V!$L:$L,0)),"")</f>
        <v/>
      </c>
      <c r="AP15" s="419" t="str">
        <f t="shared" si="10"/>
        <v/>
      </c>
    </row>
    <row r="16" spans="1:42" x14ac:dyDescent="0.2">
      <c r="A16" s="408">
        <v>10</v>
      </c>
      <c r="B16" s="422" t="s">
        <v>386</v>
      </c>
      <c r="C16" s="410">
        <v>11</v>
      </c>
      <c r="D16" s="411" t="s">
        <v>313</v>
      </c>
      <c r="E16" s="411">
        <v>13</v>
      </c>
      <c r="F16" s="412" t="s">
        <v>440</v>
      </c>
      <c r="G16" s="410">
        <v>13</v>
      </c>
      <c r="H16" s="411" t="s">
        <v>313</v>
      </c>
      <c r="I16" s="411">
        <v>2</v>
      </c>
      <c r="J16" s="412" t="s">
        <v>428</v>
      </c>
      <c r="K16" s="410">
        <v>4</v>
      </c>
      <c r="L16" s="411" t="s">
        <v>313</v>
      </c>
      <c r="M16" s="411">
        <v>13</v>
      </c>
      <c r="N16" s="412" t="s">
        <v>321</v>
      </c>
      <c r="O16" s="410">
        <v>13</v>
      </c>
      <c r="P16" s="411" t="s">
        <v>313</v>
      </c>
      <c r="Q16" s="411">
        <v>6</v>
      </c>
      <c r="R16" s="412" t="s">
        <v>420</v>
      </c>
      <c r="S16" s="410"/>
      <c r="T16" s="411"/>
      <c r="U16" s="411"/>
      <c r="V16" s="412"/>
      <c r="W16" s="413">
        <f t="shared" si="0"/>
        <v>2</v>
      </c>
      <c r="X16" s="414">
        <v>12</v>
      </c>
      <c r="Y16" s="414">
        <v>62</v>
      </c>
      <c r="Z16" s="410">
        <f t="shared" si="1"/>
        <v>41</v>
      </c>
      <c r="AA16" s="411" t="s">
        <v>313</v>
      </c>
      <c r="AB16" s="415">
        <f t="shared" si="2"/>
        <v>34</v>
      </c>
      <c r="AC16" s="416">
        <f t="shared" si="3"/>
        <v>7</v>
      </c>
      <c r="AD16" s="417">
        <f t="shared" ref="AD16:AD19" si="13">SUM(AE16:AL16)</f>
        <v>208</v>
      </c>
      <c r="AE16" s="418">
        <f>IFERROR(INDEX(V!$R:$R,MATCH(AF16,V!$L:$L,0)),"")</f>
        <v>116</v>
      </c>
      <c r="AF16" s="419" t="str">
        <f t="shared" si="5"/>
        <v>Jaan Saar</v>
      </c>
      <c r="AG16" s="418">
        <f>IFERROR(INDEX(V!$R:$R,MATCH(AH16,V!$L:$L,0)),"")</f>
        <v>92</v>
      </c>
      <c r="AH16" s="419" t="str">
        <f t="shared" si="6"/>
        <v>Liidia Põllu</v>
      </c>
      <c r="AI16" s="418" t="str">
        <f>IFERROR(INDEX(V!$R:$R,MATCH(AJ16,V!$L:$L,0)),"")</f>
        <v/>
      </c>
      <c r="AJ16" s="419" t="str">
        <f t="shared" si="7"/>
        <v/>
      </c>
      <c r="AK16" s="418" t="str">
        <f>IFERROR(INDEX(V!$R:$R,MATCH(AL16,V!$L:$L,0)),"")</f>
        <v/>
      </c>
      <c r="AL16" s="419" t="str">
        <f t="shared" si="8"/>
        <v/>
      </c>
      <c r="AM16" s="418" t="str">
        <f>IFERROR(INDEX(V!$R:$R,MATCH(AN16,V!$L:$L,0)),"")</f>
        <v/>
      </c>
      <c r="AN16" s="419" t="str">
        <f t="shared" si="9"/>
        <v/>
      </c>
      <c r="AO16" s="418" t="str">
        <f>IFERROR(INDEX(V!$R:$R,MATCH(AP16,V!$L:$L,0)),"")</f>
        <v/>
      </c>
      <c r="AP16" s="419" t="str">
        <f t="shared" si="10"/>
        <v/>
      </c>
    </row>
    <row r="17" spans="1:42" x14ac:dyDescent="0.2">
      <c r="A17" s="408">
        <v>11</v>
      </c>
      <c r="B17" s="421" t="s">
        <v>443</v>
      </c>
      <c r="C17" s="410">
        <v>6</v>
      </c>
      <c r="D17" s="411" t="s">
        <v>313</v>
      </c>
      <c r="E17" s="411">
        <v>13</v>
      </c>
      <c r="F17" s="412" t="s">
        <v>420</v>
      </c>
      <c r="G17" s="410">
        <v>4</v>
      </c>
      <c r="H17" s="411" t="s">
        <v>313</v>
      </c>
      <c r="I17" s="411">
        <v>13</v>
      </c>
      <c r="J17" s="412" t="s">
        <v>425</v>
      </c>
      <c r="K17" s="410">
        <v>13</v>
      </c>
      <c r="L17" s="411" t="s">
        <v>313</v>
      </c>
      <c r="M17" s="411">
        <v>10</v>
      </c>
      <c r="N17" s="412" t="s">
        <v>439</v>
      </c>
      <c r="O17" s="410">
        <v>13</v>
      </c>
      <c r="P17" s="411" t="s">
        <v>313</v>
      </c>
      <c r="Q17" s="411">
        <v>8</v>
      </c>
      <c r="R17" s="412" t="s">
        <v>444</v>
      </c>
      <c r="S17" s="410"/>
      <c r="T17" s="411"/>
      <c r="U17" s="411"/>
      <c r="V17" s="412"/>
      <c r="W17" s="413">
        <f t="shared" si="0"/>
        <v>2</v>
      </c>
      <c r="X17" s="414">
        <v>10</v>
      </c>
      <c r="Y17" s="414">
        <v>64</v>
      </c>
      <c r="Z17" s="410">
        <f t="shared" si="1"/>
        <v>36</v>
      </c>
      <c r="AA17" s="411" t="s">
        <v>313</v>
      </c>
      <c r="AB17" s="415">
        <f t="shared" si="2"/>
        <v>44</v>
      </c>
      <c r="AC17" s="416">
        <f t="shared" si="3"/>
        <v>-8</v>
      </c>
      <c r="AD17" s="417">
        <f t="shared" si="13"/>
        <v>128</v>
      </c>
      <c r="AE17" s="418">
        <f>IFERROR(INDEX(V!$R:$R,MATCH(AF17,V!$L:$L,0)),"")</f>
        <v>114</v>
      </c>
      <c r="AF17" s="419" t="str">
        <f t="shared" si="5"/>
        <v>Elmo Lageda</v>
      </c>
      <c r="AG17" s="418">
        <f>IFERROR(INDEX(V!$R:$R,MATCH(AH17,V!$L:$L,0)),"")</f>
        <v>14</v>
      </c>
      <c r="AH17" s="419" t="str">
        <f t="shared" si="6"/>
        <v>Veronika Pirk</v>
      </c>
      <c r="AI17" s="418" t="str">
        <f>IFERROR(INDEX(V!$R:$R,MATCH(AJ17,V!$L:$L,0)),"")</f>
        <v/>
      </c>
      <c r="AJ17" s="419" t="str">
        <f t="shared" si="7"/>
        <v/>
      </c>
      <c r="AK17" s="418" t="str">
        <f>IFERROR(INDEX(V!$R:$R,MATCH(AL17,V!$L:$L,0)),"")</f>
        <v/>
      </c>
      <c r="AL17" s="419" t="str">
        <f t="shared" si="8"/>
        <v/>
      </c>
      <c r="AM17" s="418" t="str">
        <f>IFERROR(INDEX(V!$R:$R,MATCH(AN17,V!$L:$L,0)),"")</f>
        <v/>
      </c>
      <c r="AN17" s="419" t="str">
        <f t="shared" si="9"/>
        <v/>
      </c>
      <c r="AO17" s="418" t="str">
        <f>IFERROR(INDEX(V!$R:$R,MATCH(AP17,V!$L:$L,0)),"")</f>
        <v/>
      </c>
      <c r="AP17" s="419" t="str">
        <f t="shared" si="10"/>
        <v/>
      </c>
    </row>
    <row r="18" spans="1:42" x14ac:dyDescent="0.2">
      <c r="A18" s="408">
        <v>12</v>
      </c>
      <c r="B18" s="422" t="s">
        <v>420</v>
      </c>
      <c r="C18" s="410">
        <v>13</v>
      </c>
      <c r="D18" s="411" t="s">
        <v>313</v>
      </c>
      <c r="E18" s="411">
        <v>6</v>
      </c>
      <c r="F18" s="412" t="s">
        <v>443</v>
      </c>
      <c r="G18" s="410">
        <v>5</v>
      </c>
      <c r="H18" s="411" t="s">
        <v>313</v>
      </c>
      <c r="I18" s="411">
        <v>13</v>
      </c>
      <c r="J18" s="412" t="s">
        <v>323</v>
      </c>
      <c r="K18" s="410">
        <v>8</v>
      </c>
      <c r="L18" s="411" t="s">
        <v>313</v>
      </c>
      <c r="M18" s="411">
        <v>13</v>
      </c>
      <c r="N18" s="412" t="s">
        <v>442</v>
      </c>
      <c r="O18" s="410">
        <v>6</v>
      </c>
      <c r="P18" s="411" t="s">
        <v>313</v>
      </c>
      <c r="Q18" s="411">
        <v>13</v>
      </c>
      <c r="R18" s="412" t="s">
        <v>386</v>
      </c>
      <c r="S18" s="410"/>
      <c r="T18" s="411"/>
      <c r="U18" s="411"/>
      <c r="V18" s="412"/>
      <c r="W18" s="413">
        <f t="shared" si="0"/>
        <v>1</v>
      </c>
      <c r="X18" s="414">
        <v>20</v>
      </c>
      <c r="Y18" s="414">
        <v>54</v>
      </c>
      <c r="Z18" s="410">
        <f t="shared" si="1"/>
        <v>32</v>
      </c>
      <c r="AA18" s="411" t="s">
        <v>313</v>
      </c>
      <c r="AB18" s="415">
        <f t="shared" si="2"/>
        <v>45</v>
      </c>
      <c r="AC18" s="416">
        <f t="shared" si="3"/>
        <v>-13</v>
      </c>
      <c r="AD18" s="417">
        <f t="shared" si="13"/>
        <v>222</v>
      </c>
      <c r="AE18" s="418">
        <f>IFERROR(INDEX(V!$R:$R,MATCH(AF18,V!$L:$L,0)),"")</f>
        <v>94</v>
      </c>
      <c r="AF18" s="419" t="str">
        <f t="shared" si="5"/>
        <v>Johannes Neiland</v>
      </c>
      <c r="AG18" s="418">
        <f>IFERROR(INDEX(V!$R:$R,MATCH(AH18,V!$L:$L,0)),"")</f>
        <v>128</v>
      </c>
      <c r="AH18" s="419" t="str">
        <f t="shared" si="6"/>
        <v>Urmas Randlaine</v>
      </c>
      <c r="AI18" s="418" t="str">
        <f>IFERROR(INDEX(V!$R:$R,MATCH(AJ18,V!$L:$L,0)),"")</f>
        <v/>
      </c>
      <c r="AJ18" s="419" t="str">
        <f t="shared" si="7"/>
        <v/>
      </c>
      <c r="AK18" s="418" t="str">
        <f>IFERROR(INDEX(V!$R:$R,MATCH(AL18,V!$L:$L,0)),"")</f>
        <v/>
      </c>
      <c r="AL18" s="419" t="str">
        <f t="shared" si="8"/>
        <v/>
      </c>
      <c r="AM18" s="418" t="str">
        <f>IFERROR(INDEX(V!$R:$R,MATCH(AN18,V!$L:$L,0)),"")</f>
        <v/>
      </c>
      <c r="AN18" s="419" t="str">
        <f t="shared" si="9"/>
        <v/>
      </c>
      <c r="AO18" s="418" t="str">
        <f>IFERROR(INDEX(V!$R:$R,MATCH(AP18,V!$L:$L,0)),"")</f>
        <v/>
      </c>
      <c r="AP18" s="419" t="str">
        <f t="shared" si="10"/>
        <v/>
      </c>
    </row>
    <row r="19" spans="1:42" x14ac:dyDescent="0.2">
      <c r="A19" s="408">
        <v>13</v>
      </c>
      <c r="B19" s="421" t="s">
        <v>406</v>
      </c>
      <c r="C19" s="410">
        <v>11</v>
      </c>
      <c r="D19" s="411" t="s">
        <v>313</v>
      </c>
      <c r="E19" s="411">
        <v>13</v>
      </c>
      <c r="F19" s="412" t="s">
        <v>387</v>
      </c>
      <c r="G19" s="410">
        <v>9</v>
      </c>
      <c r="H19" s="411" t="s">
        <v>313</v>
      </c>
      <c r="I19" s="411">
        <v>6</v>
      </c>
      <c r="J19" s="412" t="s">
        <v>444</v>
      </c>
      <c r="K19" s="410">
        <v>8</v>
      </c>
      <c r="L19" s="411" t="s">
        <v>313</v>
      </c>
      <c r="M19" s="411">
        <v>13</v>
      </c>
      <c r="N19" s="412" t="s">
        <v>425</v>
      </c>
      <c r="O19" s="410">
        <v>7</v>
      </c>
      <c r="P19" s="411" t="s">
        <v>313</v>
      </c>
      <c r="Q19" s="411">
        <v>13</v>
      </c>
      <c r="R19" s="412" t="s">
        <v>440</v>
      </c>
      <c r="S19" s="410"/>
      <c r="T19" s="411"/>
      <c r="U19" s="411"/>
      <c r="V19" s="412"/>
      <c r="W19" s="413">
        <f t="shared" si="0"/>
        <v>1</v>
      </c>
      <c r="X19" s="414">
        <v>18</v>
      </c>
      <c r="Y19" s="414">
        <v>64</v>
      </c>
      <c r="Z19" s="410">
        <f t="shared" si="1"/>
        <v>35</v>
      </c>
      <c r="AA19" s="411" t="s">
        <v>313</v>
      </c>
      <c r="AB19" s="415">
        <f t="shared" si="2"/>
        <v>45</v>
      </c>
      <c r="AC19" s="416">
        <f t="shared" si="3"/>
        <v>-10</v>
      </c>
      <c r="AD19" s="417">
        <f t="shared" si="13"/>
        <v>234</v>
      </c>
      <c r="AE19" s="418">
        <f>IFERROR(INDEX(V!$R:$R,MATCH(AF19,V!$L:$L,0)),"")</f>
        <v>132</v>
      </c>
      <c r="AF19" s="419" t="str">
        <f t="shared" si="5"/>
        <v>Andres Veski</v>
      </c>
      <c r="AG19" s="418">
        <f>IFERROR(INDEX(V!$R:$R,MATCH(AH19,V!$L:$L,0)),"")</f>
        <v>102</v>
      </c>
      <c r="AH19" s="419" t="str">
        <f t="shared" si="6"/>
        <v>Svetlana Veski</v>
      </c>
      <c r="AI19" s="418" t="str">
        <f>IFERROR(INDEX(V!$R:$R,MATCH(AJ19,V!$L:$L,0)),"")</f>
        <v/>
      </c>
      <c r="AJ19" s="419" t="str">
        <f t="shared" si="7"/>
        <v/>
      </c>
      <c r="AK19" s="418" t="str">
        <f>IFERROR(INDEX(V!$R:$R,MATCH(AL19,V!$L:$L,0)),"")</f>
        <v/>
      </c>
      <c r="AL19" s="419" t="str">
        <f t="shared" si="8"/>
        <v/>
      </c>
      <c r="AM19" s="418" t="str">
        <f>IFERROR(INDEX(V!$R:$R,MATCH(AN19,V!$L:$L,0)),"")</f>
        <v/>
      </c>
      <c r="AN19" s="419" t="str">
        <f t="shared" si="9"/>
        <v/>
      </c>
      <c r="AO19" s="418" t="str">
        <f>IFERROR(INDEX(V!$R:$R,MATCH(AP19,V!$L:$L,0)),"")</f>
        <v/>
      </c>
      <c r="AP19" s="419" t="str">
        <f t="shared" si="10"/>
        <v/>
      </c>
    </row>
    <row r="20" spans="1:42" x14ac:dyDescent="0.2">
      <c r="A20" s="408">
        <v>14</v>
      </c>
      <c r="B20" s="422" t="s">
        <v>444</v>
      </c>
      <c r="C20" s="410">
        <v>7</v>
      </c>
      <c r="D20" s="411" t="s">
        <v>313</v>
      </c>
      <c r="E20" s="411">
        <v>13</v>
      </c>
      <c r="F20" s="412" t="s">
        <v>321</v>
      </c>
      <c r="G20" s="410">
        <v>6</v>
      </c>
      <c r="H20" s="411" t="s">
        <v>313</v>
      </c>
      <c r="I20" s="411">
        <v>9</v>
      </c>
      <c r="J20" s="412" t="s">
        <v>406</v>
      </c>
      <c r="K20" s="410">
        <v>13</v>
      </c>
      <c r="L20" s="411" t="s">
        <v>313</v>
      </c>
      <c r="M20" s="411">
        <v>6</v>
      </c>
      <c r="N20" s="412" t="s">
        <v>428</v>
      </c>
      <c r="O20" s="410">
        <v>8</v>
      </c>
      <c r="P20" s="411" t="s">
        <v>313</v>
      </c>
      <c r="Q20" s="411">
        <v>13</v>
      </c>
      <c r="R20" s="412" t="s">
        <v>443</v>
      </c>
      <c r="S20" s="410"/>
      <c r="T20" s="411"/>
      <c r="U20" s="411"/>
      <c r="V20" s="412"/>
      <c r="W20" s="413">
        <f t="shared" ref="W20:W22" si="14">IF(C20&gt;E20,W$2,IF(C20&lt;E20,W$4,IF(ISNUMBER(C20),W$3,0)))+IF(G20&gt;I20,W$2,IF(G20&lt;I20,W$4,IF(ISNUMBER(G20),W$3,0)))+IF(K20&gt;M20,W$2,IF(K20&lt;M20,W$4,IF(ISNUMBER(K20),W$3,0)))+IF(O20&gt;Q20,W$2,IF(O20&lt;Q20,W$4,IF(ISNUMBER(O20),W$3,0)))+IF(S20&gt;U20,W$2,IF(S20&lt;U20,W$4,IF(ISNUMBER(S20),W$3,0)))</f>
        <v>1</v>
      </c>
      <c r="X20" s="414">
        <v>12</v>
      </c>
      <c r="Y20" s="414">
        <v>54</v>
      </c>
      <c r="Z20" s="410">
        <f t="shared" ref="Z20:Z22" si="15">C20+G20+K20+O20+S20</f>
        <v>34</v>
      </c>
      <c r="AA20" s="411" t="s">
        <v>313</v>
      </c>
      <c r="AB20" s="415">
        <f t="shared" ref="AB20:AB22" si="16">E20+I20+M20+Q20+U20</f>
        <v>41</v>
      </c>
      <c r="AC20" s="416">
        <f t="shared" ref="AC20:AC22" si="17">Z20-AB20</f>
        <v>-7</v>
      </c>
      <c r="AD20" s="417">
        <f t="shared" ref="AD20:AD22" si="18">SUM(AE20:AL20)</f>
        <v>60</v>
      </c>
      <c r="AE20" s="418">
        <f>IFERROR(INDEX(V!$R:$R,MATCH(AF20,V!$L:$L,0)),"")</f>
        <v>6</v>
      </c>
      <c r="AF20" s="419" t="str">
        <f t="shared" si="5"/>
        <v>Peeter Lüdig</v>
      </c>
      <c r="AG20" s="418">
        <f>IFERROR(INDEX(V!$R:$R,MATCH(AH20,V!$L:$L,0)),"")</f>
        <v>54</v>
      </c>
      <c r="AH20" s="419" t="str">
        <f t="shared" si="6"/>
        <v>Sirje Maala</v>
      </c>
      <c r="AI20" s="418" t="str">
        <f>IFERROR(INDEX(V!$R:$R,MATCH(AJ20,V!$L:$L,0)),"")</f>
        <v/>
      </c>
      <c r="AJ20" s="419" t="str">
        <f t="shared" si="7"/>
        <v/>
      </c>
      <c r="AK20" s="418" t="str">
        <f>IFERROR(INDEX(V!$R:$R,MATCH(AL20,V!$L:$L,0)),"")</f>
        <v/>
      </c>
      <c r="AL20" s="419" t="str">
        <f t="shared" si="8"/>
        <v/>
      </c>
      <c r="AM20" s="418" t="str">
        <f>IFERROR(INDEX(V!$R:$R,MATCH(AN20,V!$L:$L,0)),"")</f>
        <v/>
      </c>
      <c r="AN20" s="419" t="str">
        <f t="shared" si="9"/>
        <v/>
      </c>
      <c r="AO20" s="418" t="str">
        <f>IFERROR(INDEX(V!$R:$R,MATCH(AP20,V!$L:$L,0)),"")</f>
        <v/>
      </c>
      <c r="AP20" s="419" t="str">
        <f t="shared" si="10"/>
        <v/>
      </c>
    </row>
    <row r="21" spans="1:42" x14ac:dyDescent="0.2">
      <c r="A21" s="408">
        <v>15</v>
      </c>
      <c r="B21" s="421" t="s">
        <v>428</v>
      </c>
      <c r="C21" s="410">
        <v>11</v>
      </c>
      <c r="D21" s="411" t="s">
        <v>313</v>
      </c>
      <c r="E21" s="411">
        <v>13</v>
      </c>
      <c r="F21" s="412" t="s">
        <v>322</v>
      </c>
      <c r="G21" s="410">
        <v>2</v>
      </c>
      <c r="H21" s="411" t="s">
        <v>313</v>
      </c>
      <c r="I21" s="411">
        <v>13</v>
      </c>
      <c r="J21" s="412" t="s">
        <v>386</v>
      </c>
      <c r="K21" s="410">
        <v>6</v>
      </c>
      <c r="L21" s="411" t="s">
        <v>313</v>
      </c>
      <c r="M21" s="411">
        <v>13</v>
      </c>
      <c r="N21" s="412" t="s">
        <v>444</v>
      </c>
      <c r="O21" s="410">
        <v>13</v>
      </c>
      <c r="P21" s="411" t="s">
        <v>313</v>
      </c>
      <c r="Q21" s="411">
        <v>1</v>
      </c>
      <c r="R21" s="412" t="s">
        <v>439</v>
      </c>
      <c r="S21" s="410"/>
      <c r="T21" s="411"/>
      <c r="U21" s="411"/>
      <c r="V21" s="412"/>
      <c r="W21" s="413">
        <f t="shared" si="14"/>
        <v>1</v>
      </c>
      <c r="X21" s="414">
        <v>10</v>
      </c>
      <c r="Y21" s="414">
        <v>60</v>
      </c>
      <c r="Z21" s="410">
        <f t="shared" si="15"/>
        <v>32</v>
      </c>
      <c r="AA21" s="411" t="s">
        <v>313</v>
      </c>
      <c r="AB21" s="415">
        <f t="shared" si="16"/>
        <v>40</v>
      </c>
      <c r="AC21" s="416">
        <f t="shared" si="17"/>
        <v>-8</v>
      </c>
      <c r="AD21" s="417">
        <f t="shared" si="18"/>
        <v>22</v>
      </c>
      <c r="AE21" s="418">
        <f>IFERROR(INDEX(V!$R:$R,MATCH(AF21,V!$L:$L,0)),"")</f>
        <v>10</v>
      </c>
      <c r="AF21" s="419" t="str">
        <f t="shared" si="5"/>
        <v>Illar Tõnurist</v>
      </c>
      <c r="AG21" s="418">
        <f>IFERROR(INDEX(V!$R:$R,MATCH(AH21,V!$L:$L,0)),"")</f>
        <v>12</v>
      </c>
      <c r="AH21" s="419" t="str">
        <f t="shared" si="6"/>
        <v>Jüri Mitt</v>
      </c>
      <c r="AI21" s="418" t="str">
        <f>IFERROR(INDEX(V!$R:$R,MATCH(AJ21,V!$L:$L,0)),"")</f>
        <v/>
      </c>
      <c r="AJ21" s="419" t="str">
        <f t="shared" si="7"/>
        <v/>
      </c>
      <c r="AK21" s="418" t="str">
        <f>IFERROR(INDEX(V!$R:$R,MATCH(AL21,V!$L:$L,0)),"")</f>
        <v/>
      </c>
      <c r="AL21" s="419" t="str">
        <f t="shared" si="8"/>
        <v/>
      </c>
      <c r="AM21" s="418" t="str">
        <f>IFERROR(INDEX(V!$R:$R,MATCH(AN21,V!$L:$L,0)),"")</f>
        <v/>
      </c>
      <c r="AN21" s="419" t="str">
        <f t="shared" si="9"/>
        <v/>
      </c>
      <c r="AO21" s="418" t="str">
        <f>IFERROR(INDEX(V!$R:$R,MATCH(AP21,V!$L:$L,0)),"")</f>
        <v/>
      </c>
      <c r="AP21" s="419" t="str">
        <f t="shared" si="10"/>
        <v/>
      </c>
    </row>
    <row r="22" spans="1:42" x14ac:dyDescent="0.2">
      <c r="A22" s="408">
        <v>16</v>
      </c>
      <c r="B22" s="422" t="s">
        <v>439</v>
      </c>
      <c r="C22" s="410">
        <v>2</v>
      </c>
      <c r="D22" s="411" t="s">
        <v>313</v>
      </c>
      <c r="E22" s="411">
        <v>13</v>
      </c>
      <c r="F22" s="412" t="s">
        <v>324</v>
      </c>
      <c r="G22" s="410">
        <v>7</v>
      </c>
      <c r="H22" s="411" t="s">
        <v>313</v>
      </c>
      <c r="I22" s="411">
        <v>12</v>
      </c>
      <c r="J22" s="412" t="s">
        <v>442</v>
      </c>
      <c r="K22" s="410">
        <v>10</v>
      </c>
      <c r="L22" s="411" t="s">
        <v>313</v>
      </c>
      <c r="M22" s="411">
        <v>13</v>
      </c>
      <c r="N22" s="412" t="s">
        <v>443</v>
      </c>
      <c r="O22" s="410">
        <v>1</v>
      </c>
      <c r="P22" s="411" t="s">
        <v>313</v>
      </c>
      <c r="Q22" s="411">
        <v>13</v>
      </c>
      <c r="R22" s="412" t="s">
        <v>428</v>
      </c>
      <c r="S22" s="410"/>
      <c r="T22" s="411"/>
      <c r="U22" s="411"/>
      <c r="V22" s="412"/>
      <c r="W22" s="413">
        <f t="shared" si="14"/>
        <v>0</v>
      </c>
      <c r="X22" s="414">
        <v>16</v>
      </c>
      <c r="Y22" s="414">
        <v>52</v>
      </c>
      <c r="Z22" s="410">
        <f t="shared" si="15"/>
        <v>20</v>
      </c>
      <c r="AA22" s="411" t="s">
        <v>313</v>
      </c>
      <c r="AB22" s="415">
        <f t="shared" si="16"/>
        <v>51</v>
      </c>
      <c r="AC22" s="416">
        <f t="shared" si="17"/>
        <v>-31</v>
      </c>
      <c r="AD22" s="417">
        <f t="shared" si="18"/>
        <v>12</v>
      </c>
      <c r="AE22" s="418">
        <f>IFERROR(INDEX(V!$R:$R,MATCH(AF22,V!$L:$L,0)),"")</f>
        <v>6</v>
      </c>
      <c r="AF22" s="419" t="str">
        <f t="shared" si="5"/>
        <v>Heili Vasser</v>
      </c>
      <c r="AG22" s="418">
        <f>IFERROR(INDEX(V!$R:$R,MATCH(AH22,V!$L:$L,0)),"")</f>
        <v>6</v>
      </c>
      <c r="AH22" s="419" t="str">
        <f t="shared" si="6"/>
        <v>Vello Vasser</v>
      </c>
      <c r="AI22" s="418" t="str">
        <f>IFERROR(INDEX(V!$R:$R,MATCH(AJ22,V!$L:$L,0)),"")</f>
        <v/>
      </c>
      <c r="AJ22" s="419" t="str">
        <f t="shared" si="7"/>
        <v/>
      </c>
      <c r="AK22" s="418" t="str">
        <f>IFERROR(INDEX(V!$R:$R,MATCH(AL22,V!$L:$L,0)),"")</f>
        <v/>
      </c>
      <c r="AL22" s="419" t="str">
        <f t="shared" si="8"/>
        <v/>
      </c>
      <c r="AM22" s="418" t="str">
        <f>IFERROR(INDEX(V!$R:$R,MATCH(AN22,V!$L:$L,0)),"")</f>
        <v/>
      </c>
      <c r="AN22" s="419" t="str">
        <f t="shared" si="9"/>
        <v/>
      </c>
      <c r="AO22" s="418" t="str">
        <f>IFERROR(INDEX(V!$R:$R,MATCH(AP22,V!$L:$L,0)),"")</f>
        <v/>
      </c>
      <c r="AP22" s="419" t="str">
        <f t="shared" si="10"/>
        <v/>
      </c>
    </row>
    <row r="25" spans="1:42" hidden="1" x14ac:dyDescent="0.2"/>
    <row r="26" spans="1:42" hidden="1" x14ac:dyDescent="0.2"/>
    <row r="27" spans="1:42" hidden="1" x14ac:dyDescent="0.2"/>
    <row r="28" spans="1:42" hidden="1" x14ac:dyDescent="0.2"/>
    <row r="29" spans="1:42" hidden="1" x14ac:dyDescent="0.2"/>
    <row r="30" spans="1:42" hidden="1" x14ac:dyDescent="0.2"/>
    <row r="31" spans="1:42" hidden="1" x14ac:dyDescent="0.2"/>
    <row r="32" spans="1:4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6" hidden="1" x14ac:dyDescent="0.2"/>
    <row r="290" spans="1:6" hidden="1" x14ac:dyDescent="0.2"/>
    <row r="291" spans="1:6" hidden="1" x14ac:dyDescent="0.2"/>
    <row r="292" spans="1:6" hidden="1" x14ac:dyDescent="0.2"/>
    <row r="293" spans="1:6" hidden="1" x14ac:dyDescent="0.2"/>
    <row r="294" spans="1:6" hidden="1" x14ac:dyDescent="0.2"/>
    <row r="295" spans="1:6" hidden="1" x14ac:dyDescent="0.2"/>
    <row r="296" spans="1:6" hidden="1" x14ac:dyDescent="0.2"/>
    <row r="297" spans="1:6" hidden="1" x14ac:dyDescent="0.2"/>
    <row r="298" spans="1:6" hidden="1" x14ac:dyDescent="0.2"/>
    <row r="299" spans="1:6" x14ac:dyDescent="0.2">
      <c r="A299" s="378"/>
      <c r="B299" s="378"/>
      <c r="C299" s="423" t="s">
        <v>316</v>
      </c>
      <c r="F299" s="424"/>
    </row>
    <row r="300" spans="1:6" ht="25.5" x14ac:dyDescent="0.2">
      <c r="A300" s="425">
        <v>1</v>
      </c>
      <c r="B300" s="426" t="str">
        <f t="shared" ref="B300:B312" si="19">IFERROR(INDEX(B$1:B$95,MATCH(A300,A$1:A$95,0)),"")</f>
        <v>Kenneth Muusikus, Oliver Ojasalu, Tõnis Neiland</v>
      </c>
      <c r="C300" s="427">
        <f>LARGE(A300:A400,1)*2+2-A300*2</f>
        <v>32</v>
      </c>
      <c r="F300" s="424"/>
    </row>
    <row r="301" spans="1:6" x14ac:dyDescent="0.2">
      <c r="A301" s="425">
        <v>2</v>
      </c>
      <c r="B301" s="426" t="str">
        <f t="shared" si="19"/>
        <v>Ljudmila Varendi, Viktor Švarõgin</v>
      </c>
      <c r="C301" s="427">
        <f t="shared" ref="C301:C312" si="20">LARGE(A301:A401,1)*2+2-A301*2</f>
        <v>30</v>
      </c>
      <c r="F301" s="424"/>
    </row>
    <row r="302" spans="1:6" x14ac:dyDescent="0.2">
      <c r="A302" s="425">
        <v>3</v>
      </c>
      <c r="B302" s="426" t="str">
        <f t="shared" si="19"/>
        <v>Kristel Tihhonjuk, Vadim Tihhonjuk</v>
      </c>
      <c r="C302" s="427">
        <f t="shared" si="20"/>
        <v>28</v>
      </c>
      <c r="F302" s="424"/>
    </row>
    <row r="303" spans="1:6" x14ac:dyDescent="0.2">
      <c r="A303" s="425">
        <v>4</v>
      </c>
      <c r="B303" s="426" t="str">
        <f t="shared" si="19"/>
        <v>Marko Rooden, Martin Kuusmann</v>
      </c>
      <c r="C303" s="427">
        <f t="shared" si="20"/>
        <v>26</v>
      </c>
      <c r="F303" s="424"/>
    </row>
    <row r="304" spans="1:6" x14ac:dyDescent="0.2">
      <c r="A304" s="425">
        <v>5</v>
      </c>
      <c r="B304" s="426" t="str">
        <f t="shared" si="19"/>
        <v>Aigi Orro, Kalle Orro</v>
      </c>
      <c r="C304" s="427">
        <f t="shared" si="20"/>
        <v>24</v>
      </c>
      <c r="F304" s="424"/>
    </row>
    <row r="305" spans="1:6" x14ac:dyDescent="0.2">
      <c r="A305" s="425">
        <v>6</v>
      </c>
      <c r="B305" s="426" t="str">
        <f t="shared" si="19"/>
        <v>Andrei Grintšak, Enn Tokman</v>
      </c>
      <c r="C305" s="427">
        <f t="shared" si="20"/>
        <v>22</v>
      </c>
      <c r="F305" s="424"/>
    </row>
    <row r="306" spans="1:6" x14ac:dyDescent="0.2">
      <c r="A306" s="425">
        <v>7</v>
      </c>
      <c r="B306" s="426" t="str">
        <f t="shared" si="19"/>
        <v>Oleg Rõndenkov, Sander Rose</v>
      </c>
      <c r="C306" s="427">
        <f t="shared" si="20"/>
        <v>20</v>
      </c>
      <c r="F306" s="424"/>
    </row>
    <row r="307" spans="1:6" x14ac:dyDescent="0.2">
      <c r="A307" s="425">
        <v>8</v>
      </c>
      <c r="B307" s="426" t="str">
        <f t="shared" si="19"/>
        <v>Aleksander Korikov, Jevgeni Korikov</v>
      </c>
      <c r="C307" s="427">
        <f t="shared" si="20"/>
        <v>18</v>
      </c>
      <c r="F307" s="424"/>
    </row>
    <row r="308" spans="1:6" x14ac:dyDescent="0.2">
      <c r="A308" s="425">
        <v>9</v>
      </c>
      <c r="B308" s="426" t="str">
        <f t="shared" si="19"/>
        <v>Kaspar Mänd, Olav Türk</v>
      </c>
      <c r="C308" s="427">
        <f t="shared" si="20"/>
        <v>16</v>
      </c>
      <c r="F308" s="424"/>
    </row>
    <row r="309" spans="1:6" x14ac:dyDescent="0.2">
      <c r="A309" s="425">
        <v>10</v>
      </c>
      <c r="B309" s="426" t="str">
        <f t="shared" si="19"/>
        <v>Jaan Saar, Liidia Põllu</v>
      </c>
      <c r="C309" s="427">
        <f t="shared" si="20"/>
        <v>14</v>
      </c>
    </row>
    <row r="310" spans="1:6" x14ac:dyDescent="0.2">
      <c r="A310" s="425">
        <v>11</v>
      </c>
      <c r="B310" s="426" t="str">
        <f t="shared" si="19"/>
        <v>Elmo Lageda, Veronika Pirk</v>
      </c>
      <c r="C310" s="427">
        <f t="shared" si="20"/>
        <v>12</v>
      </c>
    </row>
    <row r="311" spans="1:6" x14ac:dyDescent="0.2">
      <c r="A311" s="425">
        <v>12</v>
      </c>
      <c r="B311" s="426" t="str">
        <f t="shared" si="19"/>
        <v>Johannes Neiland, Urmas Randlaine</v>
      </c>
      <c r="C311" s="427">
        <f t="shared" si="20"/>
        <v>10</v>
      </c>
    </row>
    <row r="312" spans="1:6" x14ac:dyDescent="0.2">
      <c r="A312" s="425">
        <v>13</v>
      </c>
      <c r="B312" s="426" t="str">
        <f t="shared" si="19"/>
        <v>Andres Veski, Svetlana Veski</v>
      </c>
      <c r="C312" s="427">
        <f t="shared" si="20"/>
        <v>8</v>
      </c>
    </row>
    <row r="313" spans="1:6" x14ac:dyDescent="0.2">
      <c r="A313" s="425">
        <v>14</v>
      </c>
      <c r="B313" s="426" t="str">
        <f t="shared" ref="B313:B315" si="21">IFERROR(INDEX(B$1:B$95,MATCH(A313,A$1:A$95,0)),"")</f>
        <v>Peeter Lüdig, Sirje Maala</v>
      </c>
      <c r="C313" s="427">
        <f t="shared" ref="C313:C315" si="22">LARGE(A313:A413,1)*2+2-A313*2</f>
        <v>6</v>
      </c>
    </row>
    <row r="314" spans="1:6" x14ac:dyDescent="0.2">
      <c r="A314" s="425">
        <v>15</v>
      </c>
      <c r="B314" s="426" t="str">
        <f t="shared" si="21"/>
        <v>Illar Tõnurist, Jüri Mitt</v>
      </c>
      <c r="C314" s="427">
        <f t="shared" si="22"/>
        <v>4</v>
      </c>
    </row>
    <row r="315" spans="1:6" x14ac:dyDescent="0.2">
      <c r="A315" s="425">
        <v>16</v>
      </c>
      <c r="B315" s="426" t="str">
        <f t="shared" si="21"/>
        <v>Heili Vasser, Vello Vasser</v>
      </c>
      <c r="C315" s="427">
        <f t="shared" si="22"/>
        <v>2</v>
      </c>
    </row>
  </sheetData>
  <conditionalFormatting sqref="AJ7:AJ22 AH7:AH22 AL7:AL22">
    <cfRule type="expression" dxfId="387" priority="36">
      <formula>AND(AG7="",FIND(",",AH7))</formula>
    </cfRule>
    <cfRule type="expression" dxfId="386" priority="38">
      <formula>AND(AG7="",COUNTIF(AH7,"*,*")=0)</formula>
    </cfRule>
  </conditionalFormatting>
  <conditionalFormatting sqref="AF7:AF22">
    <cfRule type="expression" dxfId="385" priority="37">
      <formula>AND(AE7="",COUNTIF(AF7,"*,*")=0)</formula>
    </cfRule>
  </conditionalFormatting>
  <conditionalFormatting sqref="AN7:AN22 AP7:AP22">
    <cfRule type="expression" dxfId="384" priority="34">
      <formula>AND(AM7="",COUNTIF(AN7,"*,*")=0)</formula>
    </cfRule>
    <cfRule type="expression" dxfId="383" priority="35">
      <formula>AND(AM7="",FIND(",",AN7))</formula>
    </cfRule>
  </conditionalFormatting>
  <conditionalFormatting sqref="B300:B315">
    <cfRule type="expression" dxfId="382" priority="39">
      <formula>A300=3</formula>
    </cfRule>
    <cfRule type="expression" dxfId="381" priority="40">
      <formula>A300=2</formula>
    </cfRule>
    <cfRule type="expression" dxfId="380" priority="41">
      <formula>A300=1</formula>
    </cfRule>
    <cfRule type="containsBlanks" dxfId="379" priority="42">
      <formula>LEN(TRIM(B300))=0</formula>
    </cfRule>
    <cfRule type="duplicateValues" dxfId="378" priority="43"/>
  </conditionalFormatting>
  <conditionalFormatting sqref="A7:A22">
    <cfRule type="duplicateValues" dxfId="377" priority="33"/>
  </conditionalFormatting>
  <conditionalFormatting sqref="C7:C22">
    <cfRule type="expression" dxfId="376" priority="15">
      <formula>IF($C7&gt;$E7,TRUE)</formula>
    </cfRule>
  </conditionalFormatting>
  <conditionalFormatting sqref="E7:E22">
    <cfRule type="expression" dxfId="375" priority="16">
      <formula>IF($C7&lt;$E7,TRUE)</formula>
    </cfRule>
  </conditionalFormatting>
  <conditionalFormatting sqref="K7:K22">
    <cfRule type="expression" dxfId="374" priority="23">
      <formula>IF($K7&gt;$M7,TRUE)</formula>
    </cfRule>
  </conditionalFormatting>
  <conditionalFormatting sqref="M7:M22">
    <cfRule type="expression" dxfId="373" priority="24">
      <formula>IF($K7&lt;$M7,TRUE)</formula>
    </cfRule>
  </conditionalFormatting>
  <conditionalFormatting sqref="O7:O22">
    <cfRule type="expression" dxfId="372" priority="27">
      <formula>IF($O7&gt;$Q7,TRUE)</formula>
    </cfRule>
  </conditionalFormatting>
  <conditionalFormatting sqref="Q7:Q22">
    <cfRule type="expression" dxfId="371" priority="28">
      <formula>IF($O7&lt;$Q7,TRUE)</formula>
    </cfRule>
  </conditionalFormatting>
  <conditionalFormatting sqref="S7:S22">
    <cfRule type="expression" dxfId="370" priority="31">
      <formula>IF($S7&gt;$U7,TRUE)</formula>
    </cfRule>
  </conditionalFormatting>
  <conditionalFormatting sqref="U7:U22">
    <cfRule type="expression" dxfId="369" priority="32">
      <formula>IF($S7&lt;$U7,TRUE)</formula>
    </cfRule>
  </conditionalFormatting>
  <conditionalFormatting sqref="G7:G22">
    <cfRule type="expression" dxfId="368" priority="19">
      <formula>IF($G7&gt;$I7,TRUE)</formula>
    </cfRule>
  </conditionalFormatting>
  <conditionalFormatting sqref="I7:I22">
    <cfRule type="expression" dxfId="367" priority="20">
      <formula>IF($G7&lt;$I7,TRUE)</formula>
    </cfRule>
  </conditionalFormatting>
  <conditionalFormatting sqref="F7:F22">
    <cfRule type="containsText" dxfId="366" priority="6" operator="containsText" text="vaba voor">
      <formula>NOT(ISERROR(SEARCH("vaba voor",F7)))</formula>
    </cfRule>
  </conditionalFormatting>
  <conditionalFormatting sqref="N7:N22">
    <cfRule type="containsText" dxfId="365" priority="4" operator="containsText" text="vaba voor">
      <formula>NOT(ISERROR(SEARCH("vaba voor",N7)))</formula>
    </cfRule>
  </conditionalFormatting>
  <conditionalFormatting sqref="R7:R22">
    <cfRule type="containsText" dxfId="364" priority="7" operator="containsText" text="vaba voor">
      <formula>NOT(ISERROR(SEARCH("vaba voor",R7)))</formula>
    </cfRule>
  </conditionalFormatting>
  <conditionalFormatting sqref="V7:V22">
    <cfRule type="containsText" dxfId="363" priority="3" operator="containsText" text="vaba voor">
      <formula>NOT(ISERROR(SEARCH("vaba voor",V7)))</formula>
    </cfRule>
  </conditionalFormatting>
  <conditionalFormatting sqref="J7:J22">
    <cfRule type="containsText" dxfId="362" priority="5" operator="containsText" text="vaba voor">
      <formula>NOT(ISERROR(SEARCH("vaba voor",J7)))</formula>
    </cfRule>
  </conditionalFormatting>
  <conditionalFormatting sqref="C7:F22">
    <cfRule type="expression" dxfId="361" priority="11">
      <formula>IF(AND(ISNUMBER($C7),$C7=$E7),TRUE)</formula>
    </cfRule>
    <cfRule type="expression" dxfId="360" priority="13">
      <formula>IF($C7&gt;$E7,TRUE)</formula>
    </cfRule>
    <cfRule type="expression" dxfId="359" priority="14">
      <formula>IF($C7&lt;$E7,TRUE)</formula>
    </cfRule>
  </conditionalFormatting>
  <conditionalFormatting sqref="G7:J22">
    <cfRule type="expression" dxfId="358" priority="12">
      <formula>IF(AND(ISNUMBER($G7),$G7=$I7),TRUE)</formula>
    </cfRule>
    <cfRule type="expression" dxfId="357" priority="17">
      <formula>IF($G7&gt;$I7,TRUE)</formula>
    </cfRule>
    <cfRule type="expression" dxfId="356" priority="18">
      <formula>IF($G7&lt;$I7,TRUE)</formula>
    </cfRule>
  </conditionalFormatting>
  <conditionalFormatting sqref="K7:N22">
    <cfRule type="expression" dxfId="355" priority="10">
      <formula>IF(AND(ISNUMBER($K7),$K7=$M7),TRUE)</formula>
    </cfRule>
    <cfRule type="expression" dxfId="354" priority="21">
      <formula>IF($K7&gt;$M7,TRUE)</formula>
    </cfRule>
    <cfRule type="expression" dxfId="353" priority="22">
      <formula>IF($K7&lt;$M7,TRUE)</formula>
    </cfRule>
  </conditionalFormatting>
  <conditionalFormatting sqref="O7:R22">
    <cfRule type="expression" dxfId="352" priority="9">
      <formula>IF(AND(ISNUMBER($O7),$O7=$Q7),TRUE)</formula>
    </cfRule>
    <cfRule type="expression" dxfId="351" priority="25">
      <formula>IF($O7&gt;$Q7,TRUE)</formula>
    </cfRule>
    <cfRule type="expression" dxfId="350" priority="26">
      <formula>IF($O7&lt;$Q7,TRUE)</formula>
    </cfRule>
  </conditionalFormatting>
  <conditionalFormatting sqref="S7:V22">
    <cfRule type="expression" dxfId="349" priority="8">
      <formula>IF(AND(ISNUMBER($S7),$S7=$U7),TRUE)</formula>
    </cfRule>
    <cfRule type="expression" dxfId="348" priority="29">
      <formula>IF($S7&gt;$U7,TRUE)</formula>
    </cfRule>
    <cfRule type="expression" dxfId="347" priority="30">
      <formula>IF($S7&lt;$U7,TRUE)</formula>
    </cfRule>
  </conditionalFormatting>
  <conditionalFormatting sqref="C7:C22 G7:G22 K7:K22 O7:O22 S7:S22">
    <cfRule type="expression" dxfId="346" priority="1">
      <formula>AND(C7=0,E7=13)</formula>
    </cfRule>
  </conditionalFormatting>
  <conditionalFormatting sqref="E7:E22 I7:I22 M7:M22 Q7:Q22 U7:U22">
    <cfRule type="expression" dxfId="345" priority="2">
      <formula>AND(E7=0,C7=13)</formula>
    </cfRule>
  </conditionalFormatting>
  <pageMargins left="0.39370078740157483" right="0.39370078740157483" top="0.78740157480314965" bottom="0.39370078740157483" header="0.78740157480314965" footer="0"/>
  <pageSetup paperSize="9" fitToHeight="0" orientation="landscape" verticalDpi="1200" r:id="rId1"/>
  <headerFooter>
    <oddHeader>&amp;R&amp;P. leht &amp;N&amp; -st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Kalend</vt:lpstr>
      <vt:lpstr>Kal E</vt:lpstr>
      <vt:lpstr>V</vt:lpstr>
      <vt:lpstr>V1</vt:lpstr>
      <vt:lpstr>V2</vt:lpstr>
      <vt:lpstr>V3</vt:lpstr>
      <vt:lpstr>V4</vt:lpstr>
      <vt:lpstr>V5</vt:lpstr>
      <vt:lpstr>V6</vt:lpstr>
      <vt:lpstr>V7</vt:lpstr>
      <vt:lpstr>V8</vt:lpstr>
      <vt:lpstr>V9</vt:lpstr>
      <vt:lpstr>V10</vt:lpstr>
      <vt:lpstr>M</vt:lpstr>
      <vt:lpstr>TMV-d</vt:lpstr>
      <vt:lpstr>TMV-ü</vt:lpstr>
      <vt:lpstr>TMV-t</vt:lpstr>
      <vt:lpstr>Juhend - Toila valla MV</vt:lpstr>
      <vt:lpstr>'Juhend - Toila valla MV'!__DdeLink__158_3716264120</vt:lpstr>
      <vt:lpstr>'Kal E'!Print_Titles</vt:lpstr>
      <vt:lpstr>Kalend!Print_Titles</vt:lpstr>
      <vt:lpstr>M!Print_Titles</vt:lpstr>
      <vt:lpstr>'TMV-d'!Print_Titles</vt:lpstr>
      <vt:lpstr>'TMV-t'!Print_Titles</vt:lpstr>
      <vt:lpstr>'TMV-ü'!Print_Titles</vt:lpstr>
      <vt:lpstr>V!Print_Titles</vt:lpstr>
      <vt:lpstr>'V1'!Print_Titles</vt:lpstr>
      <vt:lpstr>'V10'!Print_Titles</vt:lpstr>
      <vt:lpstr>'V2'!Print_Titles</vt:lpstr>
      <vt:lpstr>'V3'!Print_Titles</vt:lpstr>
      <vt:lpstr>'V4'!Print_Titles</vt:lpstr>
      <vt:lpstr>'V5'!Print_Titles</vt:lpstr>
      <vt:lpstr>'V6'!Print_Titles</vt:lpstr>
      <vt:lpstr>'V7'!Print_Titles</vt:lpstr>
      <vt:lpstr>'V8'!Print_Titles</vt:lpstr>
      <vt:lpstr>'V9'!Print_Titles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cp:lastPrinted>2023-09-30T18:33:42Z</cp:lastPrinted>
  <dcterms:created xsi:type="dcterms:W3CDTF">2023-02-04T07:51:14Z</dcterms:created>
  <dcterms:modified xsi:type="dcterms:W3CDTF">2023-09-30T18:40:43Z</dcterms:modified>
</cp:coreProperties>
</file>